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!!! 2026\FINANSIJSKI PLAN 2026\FINANSIJSKI PLAN 2026\"/>
    </mc:Choice>
  </mc:AlternateContent>
  <bookViews>
    <workbookView xWindow="0" yWindow="0" windowWidth="28800" windowHeight="11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Sheet1!$A$1:$L$302</definedName>
  </definedNames>
  <calcPr calcId="162913"/>
</workbook>
</file>

<file path=xl/calcChain.xml><?xml version="1.0" encoding="utf-8"?>
<calcChain xmlns="http://schemas.openxmlformats.org/spreadsheetml/2006/main">
  <c r="L203" i="1" l="1"/>
  <c r="L204" i="1"/>
  <c r="L11" i="1" l="1"/>
  <c r="J111" i="1" l="1"/>
  <c r="L247" i="1" l="1"/>
  <c r="L209" i="1"/>
  <c r="L159" i="1" l="1"/>
  <c r="J232" i="1" l="1"/>
  <c r="L196" i="1"/>
  <c r="L187" i="1"/>
  <c r="L186" i="1"/>
  <c r="G197" i="1" l="1"/>
  <c r="G198" i="1"/>
  <c r="L167" i="1"/>
  <c r="J92" i="1" l="1"/>
  <c r="J87" i="1"/>
  <c r="J86" i="1"/>
  <c r="J98" i="1"/>
  <c r="J244" i="1"/>
  <c r="J225" i="1"/>
  <c r="J236" i="1"/>
  <c r="J237" i="1"/>
  <c r="J235" i="1"/>
  <c r="J234" i="1"/>
  <c r="J224" i="1"/>
  <c r="L223" i="1"/>
  <c r="J223" i="1"/>
  <c r="J222" i="1"/>
  <c r="J229" i="1"/>
  <c r="J228" i="1"/>
  <c r="J231" i="1"/>
  <c r="J230" i="1"/>
  <c r="J227" i="1"/>
  <c r="J78" i="1"/>
  <c r="J72" i="1"/>
  <c r="J65" i="1"/>
  <c r="B35" i="2"/>
  <c r="B37" i="2" s="1"/>
  <c r="J28" i="1"/>
  <c r="B36" i="2" l="1"/>
  <c r="G239" i="1" l="1"/>
  <c r="B29" i="2" l="1"/>
  <c r="B31" i="2" s="1"/>
  <c r="J115" i="1"/>
  <c r="B30" i="2" l="1"/>
  <c r="J40" i="1"/>
  <c r="J233" i="1"/>
  <c r="G238" i="1"/>
  <c r="G52" i="1" l="1"/>
  <c r="G31" i="1" l="1"/>
  <c r="G224" i="1"/>
  <c r="G232" i="1"/>
  <c r="G263" i="1" l="1"/>
  <c r="G58" i="1"/>
  <c r="H57" i="1"/>
  <c r="G57" i="1" s="1"/>
  <c r="G268" i="1"/>
  <c r="G100" i="1"/>
  <c r="L266" i="1"/>
  <c r="L97" i="1"/>
  <c r="L135" i="1"/>
  <c r="H296" i="1"/>
  <c r="G296" i="1" s="1"/>
  <c r="G274" i="1"/>
  <c r="H273" i="1"/>
  <c r="L71" i="1"/>
  <c r="B22" i="2"/>
  <c r="B24" i="2" s="1"/>
  <c r="L259" i="1" l="1"/>
  <c r="G136" i="1"/>
  <c r="B23" i="2"/>
  <c r="B15" i="2"/>
  <c r="B16" i="2" s="1"/>
  <c r="B17" i="2" l="1"/>
  <c r="B7" i="2"/>
  <c r="B8" i="2" s="1"/>
  <c r="B9" i="2" l="1"/>
  <c r="G90" i="1"/>
  <c r="G176" i="1" l="1"/>
  <c r="L175" i="1"/>
  <c r="L88" i="1" l="1"/>
  <c r="G92" i="1" l="1"/>
  <c r="G51" i="1" l="1"/>
  <c r="J88" i="1"/>
  <c r="J175" i="1" l="1"/>
  <c r="J128" i="1" l="1"/>
  <c r="J113" i="1" l="1"/>
  <c r="J77" i="1"/>
  <c r="J71" i="1"/>
  <c r="J64" i="1"/>
  <c r="G223" i="1"/>
  <c r="J29" i="1"/>
  <c r="J27" i="1" s="1"/>
  <c r="G288" i="1"/>
  <c r="G54" i="1"/>
  <c r="G35" i="1"/>
  <c r="L141" i="1"/>
  <c r="G149" i="1"/>
  <c r="G48" i="1"/>
  <c r="G11" i="1"/>
  <c r="G284" i="1"/>
  <c r="G276" i="1"/>
  <c r="G13" i="1"/>
  <c r="G191" i="1"/>
  <c r="G243" i="1"/>
  <c r="J245" i="1"/>
  <c r="J148" i="1"/>
  <c r="J215" i="1"/>
  <c r="J155" i="1"/>
  <c r="G210" i="1"/>
  <c r="G69" i="1"/>
  <c r="G76" i="1"/>
  <c r="G82" i="1"/>
  <c r="G50" i="1"/>
  <c r="G12" i="1"/>
  <c r="L158" i="1"/>
  <c r="G159" i="1"/>
  <c r="G177" i="1"/>
  <c r="G247" i="1"/>
  <c r="G190" i="1"/>
  <c r="G106" i="1"/>
  <c r="G236" i="1"/>
  <c r="G222" i="1"/>
  <c r="G228" i="1"/>
  <c r="G86" i="1"/>
  <c r="G95" i="1"/>
  <c r="G38" i="1"/>
  <c r="G37" i="1"/>
  <c r="G188" i="1"/>
  <c r="G117" i="1"/>
  <c r="J184" i="1"/>
  <c r="G277" i="1"/>
  <c r="G133" i="1"/>
  <c r="G218" i="1"/>
  <c r="H215" i="1"/>
  <c r="I215" i="1"/>
  <c r="L215" i="1"/>
  <c r="K215" i="1"/>
  <c r="J153" i="1"/>
  <c r="H115" i="1"/>
  <c r="H113" i="1" s="1"/>
  <c r="I115" i="1"/>
  <c r="I113" i="1" s="1"/>
  <c r="K115" i="1"/>
  <c r="K113" i="1" s="1"/>
  <c r="L113" i="1"/>
  <c r="J212" i="1"/>
  <c r="G130" i="1"/>
  <c r="G125" i="1"/>
  <c r="L93" i="1"/>
  <c r="G81" i="1"/>
  <c r="G75" i="1"/>
  <c r="G68" i="1"/>
  <c r="G129" i="1"/>
  <c r="L264" i="1"/>
  <c r="G261" i="1"/>
  <c r="L212" i="1"/>
  <c r="G225" i="1"/>
  <c r="G230" i="1"/>
  <c r="G17" i="1"/>
  <c r="H15" i="1"/>
  <c r="I15" i="1"/>
  <c r="J15" i="1"/>
  <c r="L15" i="1"/>
  <c r="K15" i="1"/>
  <c r="H9" i="1"/>
  <c r="I9" i="1"/>
  <c r="J9" i="1"/>
  <c r="K9" i="1"/>
  <c r="G14" i="1"/>
  <c r="H88" i="1"/>
  <c r="I88" i="1"/>
  <c r="K88" i="1"/>
  <c r="G91" i="1"/>
  <c r="G49" i="1"/>
  <c r="K77" i="1"/>
  <c r="L77" i="1"/>
  <c r="H77" i="1"/>
  <c r="I77" i="1"/>
  <c r="H71" i="1"/>
  <c r="I71" i="1"/>
  <c r="K71" i="1"/>
  <c r="H64" i="1"/>
  <c r="I64" i="1"/>
  <c r="K64" i="1"/>
  <c r="L64" i="1"/>
  <c r="G80" i="1"/>
  <c r="G47" i="1"/>
  <c r="G285" i="1"/>
  <c r="G87" i="1"/>
  <c r="G89" i="1"/>
  <c r="G10" i="1"/>
  <c r="G73" i="1"/>
  <c r="G46" i="1"/>
  <c r="G45" i="1"/>
  <c r="G44" i="1"/>
  <c r="I93" i="1"/>
  <c r="J93" i="1"/>
  <c r="K93" i="1"/>
  <c r="H93" i="1"/>
  <c r="G96" i="1"/>
  <c r="G192" i="1"/>
  <c r="I287" i="1"/>
  <c r="J287" i="1"/>
  <c r="K287" i="1"/>
  <c r="L287" i="1"/>
  <c r="G289" i="1"/>
  <c r="G275" i="1"/>
  <c r="L290" i="1"/>
  <c r="K290" i="1"/>
  <c r="J290" i="1"/>
  <c r="I290" i="1"/>
  <c r="H290" i="1"/>
  <c r="H281" i="1"/>
  <c r="I281" i="1"/>
  <c r="J281" i="1"/>
  <c r="K281" i="1"/>
  <c r="G282" i="1"/>
  <c r="G283" i="1"/>
  <c r="G286" i="1"/>
  <c r="G291" i="1"/>
  <c r="L281" i="1"/>
  <c r="G160" i="1"/>
  <c r="H158" i="1"/>
  <c r="I158" i="1"/>
  <c r="K158" i="1"/>
  <c r="I148" i="1"/>
  <c r="K148" i="1"/>
  <c r="L148" i="1"/>
  <c r="H148" i="1"/>
  <c r="I212" i="1"/>
  <c r="K212" i="1"/>
  <c r="H212" i="1"/>
  <c r="G214" i="1"/>
  <c r="G134" i="1"/>
  <c r="I128" i="1"/>
  <c r="K128" i="1"/>
  <c r="L128" i="1"/>
  <c r="H128" i="1"/>
  <c r="I294" i="1"/>
  <c r="J294" i="1"/>
  <c r="K294" i="1"/>
  <c r="L294" i="1"/>
  <c r="J21" i="1"/>
  <c r="H245" i="1"/>
  <c r="I245" i="1"/>
  <c r="L245" i="1"/>
  <c r="K245" i="1"/>
  <c r="G248" i="1"/>
  <c r="L137" i="1"/>
  <c r="G138" i="1"/>
  <c r="G173" i="1"/>
  <c r="I279" i="1"/>
  <c r="J279" i="1"/>
  <c r="K279" i="1"/>
  <c r="L279" i="1"/>
  <c r="H279" i="1"/>
  <c r="G280" i="1"/>
  <c r="H294" i="1"/>
  <c r="G295" i="1"/>
  <c r="I292" i="1"/>
  <c r="J292" i="1"/>
  <c r="K292" i="1"/>
  <c r="L292" i="1"/>
  <c r="H292" i="1"/>
  <c r="G293" i="1"/>
  <c r="I175" i="1"/>
  <c r="I179" i="1"/>
  <c r="I181" i="1"/>
  <c r="J179" i="1"/>
  <c r="J181" i="1"/>
  <c r="K175" i="1"/>
  <c r="K179" i="1"/>
  <c r="K181" i="1"/>
  <c r="L179" i="1"/>
  <c r="L181" i="1"/>
  <c r="H175" i="1"/>
  <c r="H179" i="1"/>
  <c r="H181" i="1"/>
  <c r="G180" i="1"/>
  <c r="G182" i="1"/>
  <c r="L83" i="1"/>
  <c r="L85" i="1"/>
  <c r="L104" i="1"/>
  <c r="L121" i="1"/>
  <c r="L146" i="1"/>
  <c r="L153" i="1"/>
  <c r="L155" i="1"/>
  <c r="L161" i="1"/>
  <c r="L168" i="1"/>
  <c r="L170" i="1"/>
  <c r="L172" i="1"/>
  <c r="L184" i="1"/>
  <c r="L194" i="1"/>
  <c r="L208" i="1"/>
  <c r="L219" i="1"/>
  <c r="L226" i="1"/>
  <c r="L233" i="1"/>
  <c r="L241" i="1"/>
  <c r="L249" i="1"/>
  <c r="L254" i="1"/>
  <c r="L257" i="1"/>
  <c r="K83" i="1"/>
  <c r="K85" i="1"/>
  <c r="K97" i="1"/>
  <c r="K104" i="1"/>
  <c r="K121" i="1"/>
  <c r="K137" i="1"/>
  <c r="K141" i="1"/>
  <c r="K146" i="1"/>
  <c r="K153" i="1"/>
  <c r="K155" i="1"/>
  <c r="K161" i="1"/>
  <c r="K165" i="1"/>
  <c r="K168" i="1"/>
  <c r="K170" i="1"/>
  <c r="K172" i="1"/>
  <c r="K184" i="1"/>
  <c r="K194" i="1"/>
  <c r="K208" i="1"/>
  <c r="K219" i="1"/>
  <c r="K226" i="1"/>
  <c r="K233" i="1"/>
  <c r="K241" i="1"/>
  <c r="K249" i="1"/>
  <c r="K254" i="1"/>
  <c r="K257" i="1"/>
  <c r="K259" i="1"/>
  <c r="K264" i="1"/>
  <c r="K266" i="1"/>
  <c r="J161" i="1"/>
  <c r="J165" i="1"/>
  <c r="J168" i="1"/>
  <c r="J170" i="1"/>
  <c r="J172" i="1"/>
  <c r="J121" i="1"/>
  <c r="J137" i="1"/>
  <c r="J141" i="1"/>
  <c r="J146" i="1"/>
  <c r="J194" i="1"/>
  <c r="J208" i="1"/>
  <c r="J219" i="1"/>
  <c r="J241" i="1"/>
  <c r="J83" i="1"/>
  <c r="J97" i="1"/>
  <c r="J249" i="1"/>
  <c r="J254" i="1"/>
  <c r="J257" i="1"/>
  <c r="J259" i="1"/>
  <c r="J264" i="1"/>
  <c r="J266" i="1"/>
  <c r="I83" i="1"/>
  <c r="I85" i="1"/>
  <c r="I97" i="1"/>
  <c r="I104" i="1"/>
  <c r="I121" i="1"/>
  <c r="I137" i="1"/>
  <c r="I141" i="1"/>
  <c r="I146" i="1"/>
  <c r="I150" i="1"/>
  <c r="I153" i="1"/>
  <c r="I155" i="1"/>
  <c r="I161" i="1"/>
  <c r="I165" i="1"/>
  <c r="I170" i="1"/>
  <c r="I172" i="1"/>
  <c r="I184" i="1"/>
  <c r="I194" i="1"/>
  <c r="I208" i="1"/>
  <c r="I219" i="1"/>
  <c r="I226" i="1"/>
  <c r="I233" i="1"/>
  <c r="I241" i="1"/>
  <c r="I249" i="1"/>
  <c r="I254" i="1"/>
  <c r="I257" i="1"/>
  <c r="I259" i="1"/>
  <c r="I264" i="1"/>
  <c r="I266" i="1"/>
  <c r="H153" i="1"/>
  <c r="H155" i="1"/>
  <c r="H161" i="1"/>
  <c r="H165" i="1"/>
  <c r="H168" i="1"/>
  <c r="H170" i="1"/>
  <c r="H172" i="1"/>
  <c r="H104" i="1"/>
  <c r="H121" i="1"/>
  <c r="H137" i="1"/>
  <c r="H141" i="1"/>
  <c r="H146" i="1"/>
  <c r="H150" i="1"/>
  <c r="H184" i="1"/>
  <c r="H194" i="1"/>
  <c r="H208" i="1"/>
  <c r="H219" i="1"/>
  <c r="H226" i="1"/>
  <c r="H233" i="1"/>
  <c r="H241" i="1"/>
  <c r="H83" i="1"/>
  <c r="H85" i="1"/>
  <c r="H97" i="1"/>
  <c r="H249" i="1"/>
  <c r="H254" i="1"/>
  <c r="H257" i="1"/>
  <c r="H259" i="1"/>
  <c r="H264" i="1"/>
  <c r="H266" i="1"/>
  <c r="G94" i="1"/>
  <c r="G251" i="1"/>
  <c r="G252" i="1"/>
  <c r="G253" i="1"/>
  <c r="G250" i="1"/>
  <c r="H29" i="1"/>
  <c r="I29" i="1"/>
  <c r="K29" i="1"/>
  <c r="K27" i="1" s="1"/>
  <c r="K26" i="1" s="1"/>
  <c r="L29" i="1"/>
  <c r="L27" i="1" s="1"/>
  <c r="J273" i="1"/>
  <c r="K273" i="1"/>
  <c r="G116" i="1"/>
  <c r="G118" i="1"/>
  <c r="I273" i="1"/>
  <c r="H5" i="1"/>
  <c r="H7" i="1"/>
  <c r="H18" i="1"/>
  <c r="I18" i="1"/>
  <c r="J18" i="1"/>
  <c r="K18" i="1"/>
  <c r="L18" i="1"/>
  <c r="H21" i="1"/>
  <c r="J5" i="1"/>
  <c r="J7" i="1"/>
  <c r="J53" i="1"/>
  <c r="L5" i="1"/>
  <c r="L7" i="1"/>
  <c r="L21" i="1"/>
  <c r="L53" i="1"/>
  <c r="I5" i="1"/>
  <c r="I7" i="1"/>
  <c r="I21" i="1"/>
  <c r="I53" i="1"/>
  <c r="K5" i="1"/>
  <c r="K7" i="1"/>
  <c r="K21" i="1"/>
  <c r="K53" i="1"/>
  <c r="G6" i="1"/>
  <c r="G178" i="1"/>
  <c r="G171" i="1"/>
  <c r="G162" i="1"/>
  <c r="G163" i="1"/>
  <c r="G164" i="1"/>
  <c r="G157" i="1"/>
  <c r="G154" i="1"/>
  <c r="G166" i="1"/>
  <c r="G167" i="1"/>
  <c r="G131" i="1"/>
  <c r="G55" i="1"/>
  <c r="G8" i="1"/>
  <c r="G139" i="1"/>
  <c r="G151" i="1"/>
  <c r="G143" i="1"/>
  <c r="G147" i="1"/>
  <c r="G216" i="1"/>
  <c r="G217" i="1"/>
  <c r="G211" i="1"/>
  <c r="G246" i="1"/>
  <c r="G240" i="1"/>
  <c r="G242" i="1"/>
  <c r="G244" i="1"/>
  <c r="G122" i="1"/>
  <c r="G123" i="1"/>
  <c r="G124" i="1"/>
  <c r="G126" i="1"/>
  <c r="G127" i="1"/>
  <c r="G109" i="1"/>
  <c r="G65" i="1"/>
  <c r="G66" i="1"/>
  <c r="G79" i="1"/>
  <c r="G84" i="1"/>
  <c r="G98" i="1"/>
  <c r="G99" i="1"/>
  <c r="G105" i="1"/>
  <c r="G107" i="1"/>
  <c r="G108" i="1"/>
  <c r="G110" i="1"/>
  <c r="G112" i="1"/>
  <c r="G114" i="1"/>
  <c r="G119" i="1"/>
  <c r="G120" i="1"/>
  <c r="G132" i="1"/>
  <c r="G135" i="1"/>
  <c r="G145" i="1"/>
  <c r="G209" i="1"/>
  <c r="G220" i="1"/>
  <c r="G169" i="1"/>
  <c r="G186" i="1"/>
  <c r="G187" i="1"/>
  <c r="G189" i="1"/>
  <c r="G193" i="1"/>
  <c r="G195" i="1"/>
  <c r="G196" i="1"/>
  <c r="G199" i="1"/>
  <c r="G200" i="1"/>
  <c r="G201" i="1"/>
  <c r="G202" i="1"/>
  <c r="G203" i="1"/>
  <c r="G204" i="1"/>
  <c r="G205" i="1"/>
  <c r="G206" i="1"/>
  <c r="G255" i="1"/>
  <c r="G256" i="1"/>
  <c r="G258" i="1"/>
  <c r="G260" i="1"/>
  <c r="G262" i="1"/>
  <c r="G265" i="1"/>
  <c r="G267" i="1"/>
  <c r="G19" i="1"/>
  <c r="G20" i="1"/>
  <c r="G22" i="1"/>
  <c r="G23" i="1"/>
  <c r="G24" i="1"/>
  <c r="G25" i="1"/>
  <c r="G234" i="1"/>
  <c r="G229" i="1"/>
  <c r="G227" i="1"/>
  <c r="G231" i="1"/>
  <c r="G235" i="1"/>
  <c r="G237" i="1"/>
  <c r="G42" i="1"/>
  <c r="G41" i="1"/>
  <c r="G40" i="1"/>
  <c r="G39" i="1"/>
  <c r="G36" i="1"/>
  <c r="G34" i="1"/>
  <c r="G33" i="1"/>
  <c r="G32" i="1"/>
  <c r="G30" i="1"/>
  <c r="G16" i="1"/>
  <c r="L165" i="1"/>
  <c r="H287" i="1"/>
  <c r="G213" i="1"/>
  <c r="J226" i="1"/>
  <c r="J221" i="1" s="1"/>
  <c r="G185" i="1"/>
  <c r="J104" i="1"/>
  <c r="G111" i="1"/>
  <c r="L273" i="1"/>
  <c r="J158" i="1"/>
  <c r="G156" i="1"/>
  <c r="L9" i="1"/>
  <c r="G78" i="1"/>
  <c r="J85" i="1"/>
  <c r="H53" i="1"/>
  <c r="G144" i="1"/>
  <c r="G142" i="1"/>
  <c r="G28" i="1"/>
  <c r="G74" i="1"/>
  <c r="G67" i="1"/>
  <c r="G103" i="1"/>
  <c r="J207" i="1" l="1"/>
  <c r="I27" i="1"/>
  <c r="I26" i="1" s="1"/>
  <c r="I56" i="1" s="1"/>
  <c r="I59" i="1" s="1"/>
  <c r="H27" i="1"/>
  <c r="H26" i="1" s="1"/>
  <c r="H56" i="1" s="1"/>
  <c r="H59" i="1" s="1"/>
  <c r="L26" i="1"/>
  <c r="L56" i="1" s="1"/>
  <c r="L59" i="1" s="1"/>
  <c r="G53" i="1"/>
  <c r="K70" i="1"/>
  <c r="K63" i="1" s="1"/>
  <c r="G83" i="1"/>
  <c r="G219" i="1"/>
  <c r="G85" i="1"/>
  <c r="J174" i="1"/>
  <c r="G5" i="1"/>
  <c r="I221" i="1"/>
  <c r="I207" i="1" s="1"/>
  <c r="I183" i="1"/>
  <c r="K278" i="1"/>
  <c r="K272" i="1" s="1"/>
  <c r="K271" i="1" s="1"/>
  <c r="L278" i="1"/>
  <c r="L272" i="1" s="1"/>
  <c r="L271" i="1" s="1"/>
  <c r="K221" i="1"/>
  <c r="K207" i="1" s="1"/>
  <c r="G172" i="1"/>
  <c r="G141" i="1"/>
  <c r="K183" i="1"/>
  <c r="G153" i="1"/>
  <c r="L174" i="1"/>
  <c r="G165" i="1"/>
  <c r="G257" i="1"/>
  <c r="G226" i="1"/>
  <c r="G266" i="1"/>
  <c r="G184" i="1"/>
  <c r="G292" i="1"/>
  <c r="G245" i="1"/>
  <c r="I278" i="1"/>
  <c r="I272" i="1" s="1"/>
  <c r="I271" i="1" s="1"/>
  <c r="G168" i="1"/>
  <c r="G208" i="1"/>
  <c r="G170" i="1"/>
  <c r="I152" i="1"/>
  <c r="I70" i="1"/>
  <c r="I63" i="1" s="1"/>
  <c r="G155" i="1"/>
  <c r="G194" i="1"/>
  <c r="L70" i="1"/>
  <c r="L63" i="1" s="1"/>
  <c r="G259" i="1"/>
  <c r="G215" i="1"/>
  <c r="J183" i="1"/>
  <c r="H102" i="1"/>
  <c r="G264" i="1"/>
  <c r="G254" i="1"/>
  <c r="G115" i="1"/>
  <c r="G241" i="1"/>
  <c r="G137" i="1"/>
  <c r="G161" i="1"/>
  <c r="J140" i="1"/>
  <c r="G9" i="1"/>
  <c r="G97" i="1"/>
  <c r="I140" i="1"/>
  <c r="K174" i="1"/>
  <c r="G128" i="1"/>
  <c r="H70" i="1"/>
  <c r="H63" i="1" s="1"/>
  <c r="G181" i="1"/>
  <c r="I174" i="1"/>
  <c r="G148" i="1"/>
  <c r="G158" i="1"/>
  <c r="G281" i="1"/>
  <c r="G93" i="1"/>
  <c r="L102" i="1"/>
  <c r="H183" i="1"/>
  <c r="L221" i="1"/>
  <c r="L207" i="1" s="1"/>
  <c r="L183" i="1"/>
  <c r="L152" i="1"/>
  <c r="L140" i="1"/>
  <c r="G179" i="1"/>
  <c r="G290" i="1"/>
  <c r="G287" i="1"/>
  <c r="H278" i="1"/>
  <c r="G294" i="1"/>
  <c r="G21" i="1"/>
  <c r="G18" i="1"/>
  <c r="G7" i="1"/>
  <c r="H221" i="1"/>
  <c r="G146" i="1"/>
  <c r="H152" i="1"/>
  <c r="G249" i="1"/>
  <c r="I102" i="1"/>
  <c r="J102" i="1"/>
  <c r="J152" i="1"/>
  <c r="K152" i="1"/>
  <c r="K140" i="1"/>
  <c r="K102" i="1"/>
  <c r="G175" i="1"/>
  <c r="G212" i="1"/>
  <c r="G77" i="1"/>
  <c r="G88" i="1"/>
  <c r="G64" i="1"/>
  <c r="G113" i="1"/>
  <c r="G71" i="1"/>
  <c r="J70" i="1"/>
  <c r="J63" i="1" s="1"/>
  <c r="G121" i="1"/>
  <c r="G15" i="1"/>
  <c r="G279" i="1"/>
  <c r="G273" i="1"/>
  <c r="H174" i="1"/>
  <c r="G233" i="1"/>
  <c r="G104" i="1"/>
  <c r="G72" i="1"/>
  <c r="G150" i="1"/>
  <c r="K56" i="1"/>
  <c r="K59" i="1" s="1"/>
  <c r="J278" i="1"/>
  <c r="J272" i="1" s="1"/>
  <c r="J271" i="1" s="1"/>
  <c r="G29" i="1"/>
  <c r="H140" i="1"/>
  <c r="H272" i="1" l="1"/>
  <c r="G272" i="1" s="1"/>
  <c r="G27" i="1"/>
  <c r="J26" i="1"/>
  <c r="G174" i="1"/>
  <c r="I101" i="1"/>
  <c r="I269" i="1" s="1"/>
  <c r="I298" i="1" s="1"/>
  <c r="L101" i="1"/>
  <c r="L269" i="1" s="1"/>
  <c r="L298" i="1" s="1"/>
  <c r="G102" i="1"/>
  <c r="G221" i="1"/>
  <c r="J101" i="1"/>
  <c r="J269" i="1" s="1"/>
  <c r="J298" i="1" s="1"/>
  <c r="K101" i="1"/>
  <c r="K269" i="1" s="1"/>
  <c r="K298" i="1" s="1"/>
  <c r="G183" i="1"/>
  <c r="G278" i="1"/>
  <c r="H207" i="1"/>
  <c r="G207" i="1" s="1"/>
  <c r="G70" i="1"/>
  <c r="G152" i="1"/>
  <c r="G140" i="1"/>
  <c r="G63" i="1"/>
  <c r="H271" i="1" l="1"/>
  <c r="G271" i="1" s="1"/>
  <c r="J56" i="1"/>
  <c r="G26" i="1"/>
  <c r="H101" i="1"/>
  <c r="G101" i="1" s="1"/>
  <c r="G56" i="1" l="1"/>
  <c r="G59" i="1" s="1"/>
  <c r="J59" i="1"/>
  <c r="H269" i="1"/>
  <c r="H298" i="1" s="1"/>
  <c r="G298" i="1" s="1"/>
  <c r="G269" i="1" l="1"/>
</calcChain>
</file>

<file path=xl/sharedStrings.xml><?xml version="1.0" encoding="utf-8"?>
<sst xmlns="http://schemas.openxmlformats.org/spreadsheetml/2006/main" count="589" uniqueCount="501">
  <si>
    <t>O P I S</t>
  </si>
  <si>
    <t>Grupa konta</t>
  </si>
  <si>
    <t>A TEKUĆI PRIHODI</t>
  </si>
  <si>
    <t>1.1.</t>
  </si>
  <si>
    <t>Participacija</t>
  </si>
  <si>
    <t>1.2.</t>
  </si>
  <si>
    <t>1.2.1.</t>
  </si>
  <si>
    <t>1.2.2.</t>
  </si>
  <si>
    <t>1.2.3.</t>
  </si>
  <si>
    <t>1.2.4.</t>
  </si>
  <si>
    <t>Prihodi od davanja u zakup</t>
  </si>
  <si>
    <t>Domaće donacije</t>
  </si>
  <si>
    <t>4.1.</t>
  </si>
  <si>
    <t>4.2.</t>
  </si>
  <si>
    <t>B TEKUĆI RASHODI</t>
  </si>
  <si>
    <t>RASHODI ZA ZAPOSLENE</t>
  </si>
  <si>
    <t>1.3.</t>
  </si>
  <si>
    <t>SOCIJALNI DOPRINOSI NA TERET POSLODAVACA</t>
  </si>
  <si>
    <t>KORIŠĆENJE USLUGA I DOBARA</t>
  </si>
  <si>
    <t>STALNI TROŠKOVI</t>
  </si>
  <si>
    <t>1.2.5.</t>
  </si>
  <si>
    <t>1.2.6.</t>
  </si>
  <si>
    <t>1.3.1.</t>
  </si>
  <si>
    <t>1.3.2.</t>
  </si>
  <si>
    <t>1.3.3.</t>
  </si>
  <si>
    <t>1.4.</t>
  </si>
  <si>
    <t>1.5.</t>
  </si>
  <si>
    <t>1.5.1.</t>
  </si>
  <si>
    <t>1.5.2.</t>
  </si>
  <si>
    <t>1.6.</t>
  </si>
  <si>
    <t>TROŠKOVI PUTOVANJA ZAPOSLENIH</t>
  </si>
  <si>
    <t>Troškovi službenih putovanja u zemlji</t>
  </si>
  <si>
    <t>Troškovi službenih putovanja u inostranstvo</t>
  </si>
  <si>
    <t>Usluge obrazovanja i usavršavanja zaposlenih</t>
  </si>
  <si>
    <t>Usluge informisanja</t>
  </si>
  <si>
    <t>Stručne usluge</t>
  </si>
  <si>
    <t>Usluge za domaćinstvo i ugostiteljstvo</t>
  </si>
  <si>
    <t>Pranje veša</t>
  </si>
  <si>
    <t>SPECIJALIZOVANE USLUGE</t>
  </si>
  <si>
    <t>TEKUĆE POPRAVKE I ODRŽAVANJE</t>
  </si>
  <si>
    <t>5.1.</t>
  </si>
  <si>
    <t>5.2.</t>
  </si>
  <si>
    <t>MATERIJAL</t>
  </si>
  <si>
    <t>6.1.</t>
  </si>
  <si>
    <t>6.1.1.</t>
  </si>
  <si>
    <t>6.2.</t>
  </si>
  <si>
    <t>Materijal koji se ugrađuje u ljudski organizam</t>
  </si>
  <si>
    <t>6.4.</t>
  </si>
  <si>
    <t>Citostatici</t>
  </si>
  <si>
    <t>6.6.</t>
  </si>
  <si>
    <t>1.</t>
  </si>
  <si>
    <t xml:space="preserve">Osnovna sredstva  </t>
  </si>
  <si>
    <t>UKUPNI RASHODI I IZDACI</t>
  </si>
  <si>
    <t>PRIHODI IZ BUDŽETA</t>
  </si>
  <si>
    <t>UKUPNI PRIHODI</t>
  </si>
  <si>
    <t>Ostali prihodi</t>
  </si>
  <si>
    <t>STRUČNA SLUŽBA</t>
  </si>
  <si>
    <t>Prihodi za finansiranje osoba sa invaliditetom</t>
  </si>
  <si>
    <t>USLUGE PO UGOVORU</t>
  </si>
  <si>
    <t>1.7.</t>
  </si>
  <si>
    <t>3.6.</t>
  </si>
  <si>
    <t>3.7.</t>
  </si>
  <si>
    <t>Usluge održavanja računara</t>
  </si>
  <si>
    <t>6.1.2.</t>
  </si>
  <si>
    <t>6.3.1.</t>
  </si>
  <si>
    <t>6.3.2.</t>
  </si>
  <si>
    <t>Troškovi putovanja u okviru redovnog rada</t>
  </si>
  <si>
    <t>NOVČANE KAZNE I PENALI PO REŠENJU SUDOVA</t>
  </si>
  <si>
    <t>Ostali troškovi transporta</t>
  </si>
  <si>
    <t>3.1.</t>
  </si>
  <si>
    <t>3.2.</t>
  </si>
  <si>
    <t>3.3.</t>
  </si>
  <si>
    <t>3.4.</t>
  </si>
  <si>
    <t>3.5.</t>
  </si>
  <si>
    <t>Ostale administrativne usluge</t>
  </si>
  <si>
    <t>1.3.4.</t>
  </si>
  <si>
    <t>Ostali troškovi za poslovna putovanja u zemlji</t>
  </si>
  <si>
    <t>2.2.</t>
  </si>
  <si>
    <t>3.8.</t>
  </si>
  <si>
    <t>3.2.1.</t>
  </si>
  <si>
    <t>3.2.2.</t>
  </si>
  <si>
    <t>7.1.</t>
  </si>
  <si>
    <t>Troškovi prevoza na službenom putu u zemlji</t>
  </si>
  <si>
    <t>2.3.</t>
  </si>
  <si>
    <t>2.4.</t>
  </si>
  <si>
    <t>Troškovi dnevnice na službenom putu u zemlji</t>
  </si>
  <si>
    <t>Ostale opšte usluge</t>
  </si>
  <si>
    <t>Projektna dokumentacija</t>
  </si>
  <si>
    <t>Administrativna oprema</t>
  </si>
  <si>
    <t>Medicinska oprema</t>
  </si>
  <si>
    <t>2.1.</t>
  </si>
  <si>
    <t>1.5.3.</t>
  </si>
  <si>
    <t>3.8.1.</t>
  </si>
  <si>
    <t>2.1.1.</t>
  </si>
  <si>
    <t>2.1.2.</t>
  </si>
  <si>
    <t>2.1.3.</t>
  </si>
  <si>
    <t>3.7.1.</t>
  </si>
  <si>
    <t>Prihod od imovine koji pripada imaocima polisa osiguranja</t>
  </si>
  <si>
    <t>HTZ oprema</t>
  </si>
  <si>
    <t>5.1.1.</t>
  </si>
  <si>
    <t>Zidarski radovi</t>
  </si>
  <si>
    <t>Molerski radovi</t>
  </si>
  <si>
    <t>Električne instalacije</t>
  </si>
  <si>
    <t>5.2.1.</t>
  </si>
  <si>
    <t>Automobili</t>
  </si>
  <si>
    <t>5.2.2.</t>
  </si>
  <si>
    <t>Popravka električne i elektronske opreme</t>
  </si>
  <si>
    <t>5.2.3.</t>
  </si>
  <si>
    <t>Nameštaj</t>
  </si>
  <si>
    <t>5.2.4.</t>
  </si>
  <si>
    <t>Oprema za domaćinstvo i ugostiteljstvo</t>
  </si>
  <si>
    <t>Tekuće popravke i održavanje medicinske opreme</t>
  </si>
  <si>
    <t>5.2.6.</t>
  </si>
  <si>
    <t>Stolarski radovi</t>
  </si>
  <si>
    <t>5.1.4.</t>
  </si>
  <si>
    <t>5.1.5.</t>
  </si>
  <si>
    <t>5.1.6.</t>
  </si>
  <si>
    <t>Tekuće popravke i održavanje ostalih objekata</t>
  </si>
  <si>
    <t>Računarska oprema</t>
  </si>
  <si>
    <t>Elektronska i fotografska oprema</t>
  </si>
  <si>
    <t>Oprema za komunikaciju</t>
  </si>
  <si>
    <t>5.2.8.</t>
  </si>
  <si>
    <t>5.1.3.</t>
  </si>
  <si>
    <t>5.2.7.</t>
  </si>
  <si>
    <t>5.2.9.</t>
  </si>
  <si>
    <t>5.2.10.</t>
  </si>
  <si>
    <t>Otpremnina prilikom odlaska u penziju</t>
  </si>
  <si>
    <t>Doprinos za PIO na teret poslodavca</t>
  </si>
  <si>
    <t>Doprinos za ZO na teret poslodavca</t>
  </si>
  <si>
    <t>Naknada troškova za odvojeni život od porodice</t>
  </si>
  <si>
    <t>Naknada troškova za prevoz na posao i sa posla</t>
  </si>
  <si>
    <t>NAGRADE ZAPOSLENIMA I OSTALI POSEBNI RASHODI</t>
  </si>
  <si>
    <t>Jubilane nagrade</t>
  </si>
  <si>
    <t>Ostalo</t>
  </si>
  <si>
    <t xml:space="preserve">NAKNADE TROŠKOVA ZA ZAPOSLENE </t>
  </si>
  <si>
    <t>Mešoviti i neodređeni prihodi u korist RFZO</t>
  </si>
  <si>
    <t>Bolovanje preko 30 dana</t>
  </si>
  <si>
    <t>Porodiljsko bolovanje</t>
  </si>
  <si>
    <t>Invalidi druge kategorije</t>
  </si>
  <si>
    <t>Prihodi iz budžeta opštine</t>
  </si>
  <si>
    <t>Prihodi iz budžeta Republike</t>
  </si>
  <si>
    <t>7.2.</t>
  </si>
  <si>
    <t>7.3.</t>
  </si>
  <si>
    <t>7.4.</t>
  </si>
  <si>
    <t>8.1.</t>
  </si>
  <si>
    <t>8.2.</t>
  </si>
  <si>
    <t>9.1.</t>
  </si>
  <si>
    <t>10.1.</t>
  </si>
  <si>
    <t>10.2.</t>
  </si>
  <si>
    <t>10.3.</t>
  </si>
  <si>
    <t>11.1.</t>
  </si>
  <si>
    <t>12.1.</t>
  </si>
  <si>
    <t>Javni radovi</t>
  </si>
  <si>
    <t xml:space="preserve">Kancelarijski materijal </t>
  </si>
  <si>
    <t>Materijal za očuvanje životne sredine i nauke</t>
  </si>
  <si>
    <t>Potrošni materijal</t>
  </si>
  <si>
    <t xml:space="preserve">Bolovanja na teret zdravstvenog osiguranja </t>
  </si>
  <si>
    <t>Troškovi platnog prometa i bankarskih usluga</t>
  </si>
  <si>
    <t xml:space="preserve">Energenti </t>
  </si>
  <si>
    <t xml:space="preserve">Komunalne usluge </t>
  </si>
  <si>
    <t xml:space="preserve">Usluge vodovoda i kanalizacije </t>
  </si>
  <si>
    <t xml:space="preserve">Usluge redovnog održavanja </t>
  </si>
  <si>
    <t>Doprinos za korišćenje vode</t>
  </si>
  <si>
    <t>Usluge komunikacija (PTT usluge)</t>
  </si>
  <si>
    <t>Troškovi osiguranja</t>
  </si>
  <si>
    <t xml:space="preserve">Osiguranje zaposlenih </t>
  </si>
  <si>
    <t>Zakup imovine i opreme</t>
  </si>
  <si>
    <t xml:space="preserve">Tekuće popravke i održavanje zgrada </t>
  </si>
  <si>
    <t xml:space="preserve">Centralno grejanje </t>
  </si>
  <si>
    <t>Tekuće popravke i održavanje opreme</t>
  </si>
  <si>
    <t xml:space="preserve">Lekovi za hemofiliju </t>
  </si>
  <si>
    <t>Stalni porezi na imovinu, registracija vozila</t>
  </si>
  <si>
    <t>Zgrade i građevinski objekti</t>
  </si>
  <si>
    <t>C IZDACI ZA NEFINANSIJSKU IMOVINU</t>
  </si>
  <si>
    <t xml:space="preserve">Ostali ugradni materijal u ortopediji </t>
  </si>
  <si>
    <t>Stentovi</t>
  </si>
  <si>
    <t>Ostali ugradni materijal</t>
  </si>
  <si>
    <t xml:space="preserve">Lekovi </t>
  </si>
  <si>
    <t>Prihodi iz donacija</t>
  </si>
  <si>
    <t>Sopstveni prihodi</t>
  </si>
  <si>
    <t>Prihodi od RFZO</t>
  </si>
  <si>
    <t>PLATE, DODACI I NAKNADE ZAPOSLENIH</t>
  </si>
  <si>
    <t>Plate, dodaci i naknade zaposlenih</t>
  </si>
  <si>
    <t>1.4.1.</t>
  </si>
  <si>
    <t>1.4.2.</t>
  </si>
  <si>
    <t xml:space="preserve">Internet i slično                </t>
  </si>
  <si>
    <t>1.4.3.</t>
  </si>
  <si>
    <t>Usluge mobilnog telefona</t>
  </si>
  <si>
    <t>1.4.4.</t>
  </si>
  <si>
    <t xml:space="preserve">Pošta                         </t>
  </si>
  <si>
    <t>1.4.5.</t>
  </si>
  <si>
    <t xml:space="preserve">Usluge dostave       </t>
  </si>
  <si>
    <t>Ostali materijal za očuvanje životne sredine i nauke</t>
  </si>
  <si>
    <t>Materijal za održavanje higijene i ugostiteljstvo</t>
  </si>
  <si>
    <t>6.6.1.</t>
  </si>
  <si>
    <t>Namirnice za pripremanje hrane</t>
  </si>
  <si>
    <t>6.6.2.</t>
  </si>
  <si>
    <t>Hemijska sredstva za čišćenje</t>
  </si>
  <si>
    <t>Ostali medicinski i laboratorijski potrošni materijal</t>
  </si>
  <si>
    <t>6.7.</t>
  </si>
  <si>
    <t>6.8.</t>
  </si>
  <si>
    <t>Materijal za posebne namene</t>
  </si>
  <si>
    <t>6.8.1.</t>
  </si>
  <si>
    <t>6.8.2.</t>
  </si>
  <si>
    <t>Alat i inventar</t>
  </si>
  <si>
    <t xml:space="preserve">Аdministrativni materijal </t>
  </si>
  <si>
    <t>Materijal za obrazovanje i usavršavanje zaposlenih</t>
  </si>
  <si>
    <t>Stručna literatura za redovne potrebe zaposlenih</t>
  </si>
  <si>
    <t>6.2.1.</t>
  </si>
  <si>
    <t>6.4.1.</t>
  </si>
  <si>
    <t>6.6.3.</t>
  </si>
  <si>
    <t>6.6.4.</t>
  </si>
  <si>
    <t>6.6.5.</t>
  </si>
  <si>
    <t>6.6.5.1.</t>
  </si>
  <si>
    <t>6.6.5.2.</t>
  </si>
  <si>
    <t>6.6.5.4.</t>
  </si>
  <si>
    <t>6.9.</t>
  </si>
  <si>
    <t>6.9.1.</t>
  </si>
  <si>
    <t>6.9.2.</t>
  </si>
  <si>
    <t xml:space="preserve">Materijal za saobraćaj </t>
  </si>
  <si>
    <t>Ulja i maziva</t>
  </si>
  <si>
    <t>Ostali materijal za prevozna sredstva - auto-gume</t>
  </si>
  <si>
    <t xml:space="preserve">Obavezne takse </t>
  </si>
  <si>
    <t xml:space="preserve">Novčane kazne i penali po rešenju sudova </t>
  </si>
  <si>
    <t>SPOREDNE PROD. DOBARA I USLUGA KOJE VRŠE DRŽAVNE NETRŽIŠNE JED.</t>
  </si>
  <si>
    <t>TEKUĆI DOBROVOLJNI TRANSFERI OD FIZIČKIH I PRAVNIH LICA</t>
  </si>
  <si>
    <t>Pomoć u slučaju smrti zap. Ili čl. uže por.</t>
  </si>
  <si>
    <t>2.1.4.</t>
  </si>
  <si>
    <t>Troškovi smeštaja na službenom putu</t>
  </si>
  <si>
    <t>2.2.1.</t>
  </si>
  <si>
    <t>Troškovi prevoza na službenom putu u inostranstvo</t>
  </si>
  <si>
    <t>2.3.1.</t>
  </si>
  <si>
    <t>Dnevnice za putovanja u okviru redovnog rada</t>
  </si>
  <si>
    <t>Troškovi selidbe i prevoza</t>
  </si>
  <si>
    <t>2.4.1.</t>
  </si>
  <si>
    <t xml:space="preserve">MEMORANDUMSKE STAVKE ZA REFUNDACIJU RASHODA </t>
  </si>
  <si>
    <t>Transferi izmežu budžetskih korisnika na istom nivou</t>
  </si>
  <si>
    <t>OTPREMNINE I POMOĆI</t>
  </si>
  <si>
    <t>Ostali troškovi</t>
  </si>
  <si>
    <t>1.7.1.</t>
  </si>
  <si>
    <t>Osiguranje opreme</t>
  </si>
  <si>
    <t>1.5.4.</t>
  </si>
  <si>
    <t>3.6.1.</t>
  </si>
  <si>
    <t>Ostale stručne usluge</t>
  </si>
  <si>
    <t>Administrativne usluge</t>
  </si>
  <si>
    <t>3.1.1.</t>
  </si>
  <si>
    <t>Kompjuterske usluge</t>
  </si>
  <si>
    <t>Usluge za održavanje softvera</t>
  </si>
  <si>
    <t>3.3.1.</t>
  </si>
  <si>
    <t>3.5.1.</t>
  </si>
  <si>
    <t>3.5.2.</t>
  </si>
  <si>
    <t>3.4.1.</t>
  </si>
  <si>
    <t>Usluge reklame i propagande</t>
  </si>
  <si>
    <t>3.4.2.</t>
  </si>
  <si>
    <t>Objavljivanje tendera i informativnih oglasa</t>
  </si>
  <si>
    <t>3.4.3.</t>
  </si>
  <si>
    <t>Medijske usluge radija i televizije</t>
  </si>
  <si>
    <t>Reprezentacija</t>
  </si>
  <si>
    <t>Medicinske usluge</t>
  </si>
  <si>
    <t>4.1.2.</t>
  </si>
  <si>
    <t>4.1.3.</t>
  </si>
  <si>
    <t>Ostale medicinske usluge</t>
  </si>
  <si>
    <t>4.2.1.</t>
  </si>
  <si>
    <t>Geodetske usluge</t>
  </si>
  <si>
    <t>Tekući transferi od drugih nivoa vlasti</t>
  </si>
  <si>
    <t>7.1.1.</t>
  </si>
  <si>
    <t>7.1.2.</t>
  </si>
  <si>
    <t>7.1.2.1.</t>
  </si>
  <si>
    <t>7.1.2.2.</t>
  </si>
  <si>
    <t>TEKUĆI TRANSFERI OD DRUGIH NIVOA VLASTI</t>
  </si>
  <si>
    <t>7.1.2.3.</t>
  </si>
  <si>
    <t>7.1.2.4.</t>
  </si>
  <si>
    <t>7.1.3.</t>
  </si>
  <si>
    <t>7.1.4.</t>
  </si>
  <si>
    <t>7.1.5.</t>
  </si>
  <si>
    <t>7.1.6.</t>
  </si>
  <si>
    <t>7.1.7.</t>
  </si>
  <si>
    <t>7.1.8.</t>
  </si>
  <si>
    <t>1.3.2.1.</t>
  </si>
  <si>
    <t>Deratizacija</t>
  </si>
  <si>
    <t>1.3.2.2.</t>
  </si>
  <si>
    <t>Dimnjačarske usluge</t>
  </si>
  <si>
    <t>1.3.2.3.</t>
  </si>
  <si>
    <t>Odvoz otpada</t>
  </si>
  <si>
    <t>1.2.2.2.</t>
  </si>
  <si>
    <t>Usluge javnog zdravstva</t>
  </si>
  <si>
    <t xml:space="preserve">Prihodi od prodaje usluga preduzećima i drugim pravnim licima </t>
  </si>
  <si>
    <t>1.2.7.</t>
  </si>
  <si>
    <t>1.2.8.</t>
  </si>
  <si>
    <t xml:space="preserve">Medicinski i laboratorijski materijali </t>
  </si>
  <si>
    <t xml:space="preserve">Krv i krvni derivati </t>
  </si>
  <si>
    <t>Sanitetski i potrošni materijal</t>
  </si>
  <si>
    <t>Osiguranje zgrada</t>
  </si>
  <si>
    <t>Ostale nekretnine i oprema</t>
  </si>
  <si>
    <t>AMORTIZACIJA I UPOTREBA SREDSTAVA ZA RAD</t>
  </si>
  <si>
    <t>Amortizacija zgrada i građevinskih objekata</t>
  </si>
  <si>
    <t>Amortizacija opreme</t>
  </si>
  <si>
    <t>Amortizacija nematerijalne imovine</t>
  </si>
  <si>
    <t>Amortizacija ostalih nekretnina i opreme</t>
  </si>
  <si>
    <t>OSTALE TEKUĆE DONACIJE, DOTACIJE I TRANSFERI</t>
  </si>
  <si>
    <t>Ostale tekuće dotacije po zakonu</t>
  </si>
  <si>
    <t>POREZI, OBAVEZNE TAKSE I KAZNE</t>
  </si>
  <si>
    <t xml:space="preserve">Novčane kazne </t>
  </si>
  <si>
    <t>OTPLATA KAMATA I PRATEĆI TROŠKOVI ZADUŽIVANJA</t>
  </si>
  <si>
    <t xml:space="preserve">Otplata domaćih kamata </t>
  </si>
  <si>
    <t>Otplata stranih kamata</t>
  </si>
  <si>
    <t>4.</t>
  </si>
  <si>
    <t>6.3.</t>
  </si>
  <si>
    <t>4.3.</t>
  </si>
  <si>
    <t>4.3.1.</t>
  </si>
  <si>
    <t>Ostale specijalizovane usluge</t>
  </si>
  <si>
    <t>1.2.3.1.</t>
  </si>
  <si>
    <t>1.2.4.1.</t>
  </si>
  <si>
    <t>Mehanička oprema</t>
  </si>
  <si>
    <t>1.2.5.1.</t>
  </si>
  <si>
    <t>1.2.1.1.</t>
  </si>
  <si>
    <t>Oprema za saobraćaj</t>
  </si>
  <si>
    <t>Radio-televizijska pretplata</t>
  </si>
  <si>
    <t>Doprinos komori zdravstvenih ustanova</t>
  </si>
  <si>
    <t>6.9.3.</t>
  </si>
  <si>
    <t>Ostali materijali za posebne namene</t>
  </si>
  <si>
    <t>Kapitalno održavanje bolnica, dom.zdr.</t>
  </si>
  <si>
    <t>Oprema za domaćinstvo</t>
  </si>
  <si>
    <t>1.1.1.</t>
  </si>
  <si>
    <t>1.1.2.</t>
  </si>
  <si>
    <t>5.2.5.</t>
  </si>
  <si>
    <t>5.1.2.</t>
  </si>
  <si>
    <t>1.5.5.</t>
  </si>
  <si>
    <t>6.2.2.</t>
  </si>
  <si>
    <t>Stručna literatura za obrazovanje zaposlenih</t>
  </si>
  <si>
    <t>3.3.2.</t>
  </si>
  <si>
    <t>Kotizacija za seminar</t>
  </si>
  <si>
    <t>1.2.2.1.</t>
  </si>
  <si>
    <t>1.2.2.3.</t>
  </si>
  <si>
    <t>1.1.3.</t>
  </si>
  <si>
    <t>1.2.6.1.</t>
  </si>
  <si>
    <t>Oprema za javnu bezbednost</t>
  </si>
  <si>
    <t>.</t>
  </si>
  <si>
    <t>1.2.3.2.</t>
  </si>
  <si>
    <t>Laboratorijska oprema</t>
  </si>
  <si>
    <t>5.1.7.</t>
  </si>
  <si>
    <t>Plate zaposlenih u borbi protiv bolesti COVID-19</t>
  </si>
  <si>
    <t>Prevoz radnika zaposlenih u borbi protiv bolesti COVID-19</t>
  </si>
  <si>
    <t>Doprinos za PIO na teret poslodavca COVID-19</t>
  </si>
  <si>
    <t>Doprinos za ZO na teret poslodavca COVID-19</t>
  </si>
  <si>
    <t>7.1.9.</t>
  </si>
  <si>
    <t>7.1.10.</t>
  </si>
  <si>
    <t>7.1.11.</t>
  </si>
  <si>
    <t>Solidarna pomoć usled potvrđene bolesti COVID-19</t>
  </si>
  <si>
    <t>Plata zaposlenih u borbi protiv bolesti COVID-19</t>
  </si>
  <si>
    <t>Motorna oprema</t>
  </si>
  <si>
    <t>SOCIJALNA DAVANJA ZAPOSLENIMA</t>
  </si>
  <si>
    <t>POMOĆ U MEDICINSKOM LEČENJU ZAPOSLENOG ILI ČL. UŽE PORODICE</t>
  </si>
  <si>
    <t>Jub.nagrade,otprem. pom. u sl. smrti zapos. ili čl. uže porodice</t>
  </si>
  <si>
    <t>1.7.2.</t>
  </si>
  <si>
    <t>7.1.12.</t>
  </si>
  <si>
    <t>Dopuna bolovanja do 100% (zbog COVIDA-19)</t>
  </si>
  <si>
    <t>Doprinos za ZO - dopuna bolovanja do 100 % (COVID-19)</t>
  </si>
  <si>
    <t>1.2.2.4.</t>
  </si>
  <si>
    <t>7.1.13.</t>
  </si>
  <si>
    <t>Novčana pomoć (angažovanje u sprečavanju širenja epidemije COVID-19)</t>
  </si>
  <si>
    <t>Doprinos za PIO</t>
  </si>
  <si>
    <t>Doprinos za ZO</t>
  </si>
  <si>
    <t>2.2.2.</t>
  </si>
  <si>
    <t>2.2.3.</t>
  </si>
  <si>
    <t>2.2.4.</t>
  </si>
  <si>
    <t>7.1.14.</t>
  </si>
  <si>
    <t>Jednokratna pomoć</t>
  </si>
  <si>
    <t>6.6.5.3.</t>
  </si>
  <si>
    <t>1.4.6.</t>
  </si>
  <si>
    <t>Ostale usluge komunikacije</t>
  </si>
  <si>
    <t xml:space="preserve"> </t>
  </si>
  <si>
    <t>6.3.3.</t>
  </si>
  <si>
    <t>Ostali materijal za prevozna sredstva - auto-delovi</t>
  </si>
  <si>
    <t>Mehaničke popravke opreme za saobraćaj</t>
  </si>
  <si>
    <t>1.5.6.</t>
  </si>
  <si>
    <t>Osiguranje zaposlenih - dobrovoljno zdravstveno osiguranje</t>
  </si>
  <si>
    <t>Tekuće popravke i održavanje proizvodne motorne, nepokretne i nemotorne opreme ostalih objekata</t>
  </si>
  <si>
    <t>5.1.8.</t>
  </si>
  <si>
    <t>5.2.11.</t>
  </si>
  <si>
    <t>7.1.15.</t>
  </si>
  <si>
    <t>2.1.5.</t>
  </si>
  <si>
    <t>2.2.5.</t>
  </si>
  <si>
    <t>6.1.3.</t>
  </si>
  <si>
    <t>Uniforme</t>
  </si>
  <si>
    <t>6.8.3.</t>
  </si>
  <si>
    <t>Inventar za održavanje higijene</t>
  </si>
  <si>
    <t>5.1.9.</t>
  </si>
  <si>
    <t>Radovi na komunikacijskim instalacijama</t>
  </si>
  <si>
    <t>7.1.16.</t>
  </si>
  <si>
    <t>1.2.2.5.</t>
  </si>
  <si>
    <t>Štampači</t>
  </si>
  <si>
    <t>PRIHODI OD IMOVINE KOJI PRIPADA IMAOCIMA POLISA OSIGURANJA</t>
  </si>
  <si>
    <t>Prihodi od prodaje usluga građanima (specifična zdr. Zaštita, na lični zahtev i dr.)</t>
  </si>
  <si>
    <t>MEŠOVITI I NEODREĐENI PRIHODI</t>
  </si>
  <si>
    <t>TRANSFERI IZMEĐU BUDŽETSKIH KORISNIKA NA ISTOM NIVOU</t>
  </si>
  <si>
    <t>Transferi između budžetskih korisnika na istom nivou</t>
  </si>
  <si>
    <t>Varjabilni deo naknade (5% od ukupnih predračunskih sredstava)</t>
  </si>
  <si>
    <t>7.1.17.</t>
  </si>
  <si>
    <t xml:space="preserve">Energenti  </t>
  </si>
  <si>
    <t xml:space="preserve">Sanitetski i med.pot.materijal </t>
  </si>
  <si>
    <t xml:space="preserve">Materijalni i ostali troškovi </t>
  </si>
  <si>
    <t>Razlika prekovremenog rada po zaključku Vlade - Covid-19</t>
  </si>
  <si>
    <t>Doprinos za PIO - dopuna bolovanja do 100 %( COVID-19)</t>
  </si>
  <si>
    <t>Doprinos za ZO na teret poslodavca - novčana pomoć COVID-19</t>
  </si>
  <si>
    <t>Doprinos za PIO na teret poslodavca - novčana pomoć COVID-19</t>
  </si>
  <si>
    <t>Doprinos za PIO - razlika prekovremenog rada po zaključku Vlade - COVID-19</t>
  </si>
  <si>
    <t>Doprinos za ZO - razlika prekovremenog rada po zaključku Vlade - COVID-19</t>
  </si>
  <si>
    <t>Prevoz za radnike zaposlene u borbi protiv bolesti COVID-19</t>
  </si>
  <si>
    <t>Utrošena električna energija</t>
  </si>
  <si>
    <t xml:space="preserve">Benzin  </t>
  </si>
  <si>
    <t xml:space="preserve">Ugalj </t>
  </si>
  <si>
    <t>Drvo</t>
  </si>
  <si>
    <t>Drveni pelet</t>
  </si>
  <si>
    <t xml:space="preserve">Lož ulje </t>
  </si>
  <si>
    <t>Centralno grejanje</t>
  </si>
  <si>
    <t xml:space="preserve">Usluge čišćenja </t>
  </si>
  <si>
    <t>Telefon, teleks i telefaks</t>
  </si>
  <si>
    <t>Osiguranje od odgovornosti prema trećim licima</t>
  </si>
  <si>
    <t xml:space="preserve">Naknade članovima upravnih, nadzornih odbora i komisija </t>
  </si>
  <si>
    <t>Usluge očuvanja životne sredine, nauke i geodetske usluge</t>
  </si>
  <si>
    <t>Radovi na vodovodu i kanalizaciji</t>
  </si>
  <si>
    <t>Ostale usl. i mater.za tekuće popravke i održ.zgrada</t>
  </si>
  <si>
    <t>Ostale popravke i održavanje opreme za saobraćaj</t>
  </si>
  <si>
    <t>Tekuće popravke i održavanje laboratorijske opreme</t>
  </si>
  <si>
    <t>Materijal za dijalizu i dijalizatori</t>
  </si>
  <si>
    <t>Lekovi u ZU</t>
  </si>
  <si>
    <t>Lekovi sa C liste</t>
  </si>
  <si>
    <t>Lekovi van liste lekova</t>
  </si>
  <si>
    <t xml:space="preserve">Implantati u ortopediji  </t>
  </si>
  <si>
    <t>NAKNADA ŠTETE ZA POVREDE ILI ŠTETE NANETE OD STRANE DRŽAVNIH ORGANA</t>
  </si>
  <si>
    <t>Naknada štete za povrede ili štete nanete od strane državnih organa</t>
  </si>
  <si>
    <t>Skladišta, silosi, garaže i slično</t>
  </si>
  <si>
    <t xml:space="preserve">Mašine i oprema </t>
  </si>
  <si>
    <t>Osiguranje vozila</t>
  </si>
  <si>
    <t>5.3.</t>
  </si>
  <si>
    <t>7.1.18.</t>
  </si>
  <si>
    <t>UKUPNI RASHODI</t>
  </si>
  <si>
    <t>Rashodi iz budžeta Republike</t>
  </si>
  <si>
    <t>Rashodi iz budžeta opštine</t>
  </si>
  <si>
    <t>Rashodi od RFZO</t>
  </si>
  <si>
    <t>Rashodi iz donacija</t>
  </si>
  <si>
    <t>Sopstveni rashodi</t>
  </si>
  <si>
    <t>4.1.1.</t>
  </si>
  <si>
    <t>Zdravstvena zaštita po ugovoru (usluge koje se ne pružaju u zdravstvenoj ustanovi)</t>
  </si>
  <si>
    <t>5.4.</t>
  </si>
  <si>
    <t>Pomoć u medicinskom lečenju zaposlenog ili člana uže porodice</t>
  </si>
  <si>
    <t>Solidarna pomoć po PKU</t>
  </si>
  <si>
    <t>plata</t>
  </si>
  <si>
    <t>pio</t>
  </si>
  <si>
    <t>zo</t>
  </si>
  <si>
    <t>PST</t>
  </si>
  <si>
    <t>sopstvena sredstva za platu</t>
  </si>
  <si>
    <t>Prirodni gas</t>
  </si>
  <si>
    <t>1.1.4.</t>
  </si>
  <si>
    <t>Bolnice, domovi zdravlja I staraćki domovi</t>
  </si>
  <si>
    <t>Nematerijalna imovina</t>
  </si>
  <si>
    <t>Kompjuterski softver</t>
  </si>
  <si>
    <t>1.3.1</t>
  </si>
  <si>
    <t>1.6.1</t>
  </si>
  <si>
    <t>Zakup administrativne opreme</t>
  </si>
  <si>
    <t>Naknade članovima upravnih i nadzornih odbora</t>
  </si>
  <si>
    <t>10.4.</t>
  </si>
  <si>
    <t>Penali po sudskim sporovima</t>
  </si>
  <si>
    <t>12.2.</t>
  </si>
  <si>
    <t>Ostale naknade štete</t>
  </si>
  <si>
    <t>PRIMANJA OD PRODAJE POKRETNE IMOVINE</t>
  </si>
  <si>
    <t>Solidarna pomoć usled potvrđene bolesti po PKU</t>
  </si>
  <si>
    <t>Solidarna pomoć po PKU za rođenje deteta</t>
  </si>
  <si>
    <t>7.1.2.5.</t>
  </si>
  <si>
    <t>Reagensi</t>
  </si>
  <si>
    <t>Medicinski gasovi</t>
  </si>
  <si>
    <t>6.6.6.</t>
  </si>
  <si>
    <t>6.6.7.</t>
  </si>
  <si>
    <t>6.6.5.5.</t>
  </si>
  <si>
    <t>6.6.7.1.</t>
  </si>
  <si>
    <t>6.6.7.2.</t>
  </si>
  <si>
    <t>6.6.7.3.</t>
  </si>
  <si>
    <t>6.6.7.4.</t>
  </si>
  <si>
    <t>Finansijski plan za 2026. god.</t>
  </si>
  <si>
    <t xml:space="preserve">FINANSIJSKI PLAN OPŠTE BOLNICE LESKOVAC ZA 2026. </t>
  </si>
  <si>
    <t>Neraspoređen višak prihoda iz 2025.g.</t>
  </si>
  <si>
    <t>Dug po obračunu za 2025.godinu - fiksni deo</t>
  </si>
  <si>
    <t>Dug po obračunu za 2025.godinu - varijabilni deo</t>
  </si>
  <si>
    <t>Avans po obračunu za 2025. god.</t>
  </si>
  <si>
    <t>Neraspoređeni višak prihoda iz 2025. godine</t>
  </si>
  <si>
    <t>7.1.19.</t>
  </si>
  <si>
    <t>Transferi iz Budžeta RS u korist RFZO</t>
  </si>
  <si>
    <t>6.6.7.5</t>
  </si>
  <si>
    <t>Sočiva</t>
  </si>
  <si>
    <t>Prihodi van Ugovora -Medicinski gasovi</t>
  </si>
  <si>
    <t>iz budzeta za platu</t>
  </si>
  <si>
    <t>7.1.20.</t>
  </si>
  <si>
    <t>Prihodi van Ugovora -ОФФ лабел лекови</t>
  </si>
  <si>
    <t>6.6.8.</t>
  </si>
  <si>
    <t>OFF label lekovi</t>
  </si>
  <si>
    <t>konacni za platu</t>
  </si>
  <si>
    <t>Komunikaciona oprema</t>
  </si>
  <si>
    <t>5.2.12.</t>
  </si>
  <si>
    <t>Limarski radovi na vozilima</t>
  </si>
  <si>
    <t>20.03.2026.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</si>
</sst>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181A]dd/mm/yyyy/;@"/>
  </numFmts>
  <fonts count="11" x14ac:knownFonts="1">
    <font>
      <sz val="10"/>
      <name val="Arial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1" fontId="0" fillId="0" borderId="0" xfId="0" applyNumberFormat="1"/>
    <xf numFmtId="4" fontId="0" fillId="0" borderId="0" xfId="0" applyNumberFormat="1"/>
    <xf numFmtId="0" fontId="2" fillId="0" borderId="0" xfId="0" applyFont="1"/>
    <xf numFmtId="3" fontId="2" fillId="0" borderId="0" xfId="0" applyNumberFormat="1" applyFont="1"/>
    <xf numFmtId="1" fontId="5" fillId="0" borderId="0" xfId="0" applyNumberFormat="1" applyFont="1"/>
    <xf numFmtId="9" fontId="2" fillId="0" borderId="1" xfId="1" applyFont="1" applyFill="1" applyBorder="1"/>
    <xf numFmtId="0" fontId="10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Protection="1">
      <protection locked="0"/>
    </xf>
    <xf numFmtId="3" fontId="5" fillId="0" borderId="1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 applyProtection="1">
      <protection locked="0"/>
    </xf>
    <xf numFmtId="3" fontId="8" fillId="0" borderId="1" xfId="0" applyNumberFormat="1" applyFont="1" applyBorder="1"/>
    <xf numFmtId="0" fontId="8" fillId="0" borderId="0" xfId="0" applyFont="1"/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justify"/>
    </xf>
    <xf numFmtId="1" fontId="5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5" fillId="0" borderId="0" xfId="0" applyFont="1"/>
    <xf numFmtId="14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3" fontId="9" fillId="0" borderId="1" xfId="0" applyNumberFormat="1" applyFont="1" applyBorder="1" applyProtection="1">
      <protection locked="0"/>
    </xf>
    <xf numFmtId="3" fontId="9" fillId="0" borderId="1" xfId="0" applyNumberFormat="1" applyFont="1" applyBorder="1"/>
    <xf numFmtId="0" fontId="9" fillId="0" borderId="0" xfId="0" applyFont="1"/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Protection="1">
      <protection locked="0"/>
    </xf>
    <xf numFmtId="3" fontId="5" fillId="0" borderId="3" xfId="0" applyNumberFormat="1" applyFont="1" applyBorder="1"/>
    <xf numFmtId="0" fontId="2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/>
    <xf numFmtId="49" fontId="8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/>
    </xf>
    <xf numFmtId="0" fontId="9" fillId="0" borderId="1" xfId="0" applyFont="1" applyBorder="1"/>
    <xf numFmtId="0" fontId="2" fillId="0" borderId="4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5" fillId="0" borderId="3" xfId="0" applyFont="1" applyBorder="1" applyAlignment="1">
      <alignment horizontal="left"/>
    </xf>
    <xf numFmtId="49" fontId="5" fillId="0" borderId="1" xfId="0" applyNumberFormat="1" applyFont="1" applyBorder="1"/>
    <xf numFmtId="3" fontId="5" fillId="0" borderId="0" xfId="0" applyNumberFormat="1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5" fillId="0" borderId="10" xfId="0" applyNumberFormat="1" applyFont="1" applyBorder="1"/>
    <xf numFmtId="49" fontId="8" fillId="0" borderId="1" xfId="0" applyNumberFormat="1" applyFont="1" applyBorder="1"/>
    <xf numFmtId="0" fontId="5" fillId="0" borderId="0" xfId="0" applyFont="1" applyAlignment="1">
      <alignment horizontal="center"/>
    </xf>
    <xf numFmtId="0" fontId="2" fillId="0" borderId="12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2" fillId="0" borderId="1" xfId="0" applyNumberFormat="1" applyFont="1" applyFill="1" applyBorder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Protection="1">
      <protection locked="0"/>
    </xf>
    <xf numFmtId="3" fontId="8" fillId="0" borderId="1" xfId="0" applyNumberFormat="1" applyFont="1" applyFill="1" applyBorder="1"/>
    <xf numFmtId="3" fontId="9" fillId="0" borderId="1" xfId="0" applyNumberFormat="1" applyFont="1" applyFill="1" applyBorder="1"/>
    <xf numFmtId="3" fontId="5" fillId="0" borderId="3" xfId="0" applyNumberFormat="1" applyFont="1" applyFill="1" applyBorder="1"/>
    <xf numFmtId="3" fontId="2" fillId="0" borderId="1" xfId="0" applyNumberFormat="1" applyFont="1" applyFill="1" applyBorder="1" applyProtection="1">
      <protection locked="0"/>
    </xf>
    <xf numFmtId="3" fontId="5" fillId="0" borderId="0" xfId="0" applyNumberFormat="1" applyFont="1" applyFill="1"/>
    <xf numFmtId="0" fontId="2" fillId="0" borderId="12" xfId="0" applyFont="1" applyFill="1" applyBorder="1"/>
    <xf numFmtId="3" fontId="2" fillId="0" borderId="0" xfId="0" applyNumberFormat="1" applyFont="1" applyFill="1"/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/>
    <xf numFmtId="3" fontId="8" fillId="0" borderId="1" xfId="0" applyNumberFormat="1" applyFont="1" applyFill="1" applyBorder="1" applyProtection="1">
      <protection locked="0"/>
    </xf>
    <xf numFmtId="3" fontId="2" fillId="0" borderId="12" xfId="0" applyNumberFormat="1" applyFont="1" applyFill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5" fillId="0" borderId="2" xfId="0" applyNumberFormat="1" applyFont="1" applyBorder="1" applyAlignment="1">
      <alignment horizontal="left" vertical="top" wrapText="1"/>
    </xf>
    <xf numFmtId="49" fontId="5" fillId="0" borderId="3" xfId="0" applyNumberFormat="1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0" xfId="0" applyFont="1" applyAlignment="1">
      <alignment horizontal="center"/>
    </xf>
    <xf numFmtId="49" fontId="5" fillId="0" borderId="2" xfId="0" applyNumberFormat="1" applyFont="1" applyBorder="1"/>
    <xf numFmtId="49" fontId="5" fillId="0" borderId="3" xfId="0" applyNumberFormat="1" applyFont="1" applyBorder="1"/>
    <xf numFmtId="49" fontId="5" fillId="0" borderId="4" xfId="0" applyNumberFormat="1" applyFont="1" applyBorder="1"/>
    <xf numFmtId="49" fontId="8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2"/>
  <sheetViews>
    <sheetView tabSelected="1" view="pageBreakPreview" zoomScaleSheetLayoutView="100" workbookViewId="0">
      <pane ySplit="3" topLeftCell="A180" activePane="bottomLeft" state="frozenSplit"/>
      <selection pane="bottomLeft" activeCell="F204" sqref="F204"/>
    </sheetView>
  </sheetViews>
  <sheetFormatPr defaultColWidth="9.140625" defaultRowHeight="12.75" x14ac:dyDescent="0.2"/>
  <cols>
    <col min="1" max="1" width="4.28515625" style="3" customWidth="1"/>
    <col min="2" max="2" width="6.140625" style="3" customWidth="1"/>
    <col min="3" max="3" width="7" style="3" customWidth="1"/>
    <col min="4" max="4" width="7.5703125" style="3" customWidth="1"/>
    <col min="5" max="5" width="48.7109375" style="3" customWidth="1"/>
    <col min="6" max="6" width="8" style="5" bestFit="1" customWidth="1"/>
    <col min="7" max="7" width="12.42578125" style="3" bestFit="1" customWidth="1"/>
    <col min="8" max="8" width="10.85546875" style="3" bestFit="1" customWidth="1"/>
    <col min="9" max="9" width="8.5703125" style="3" customWidth="1"/>
    <col min="10" max="10" width="12.28515625" style="93" bestFit="1" customWidth="1"/>
    <col min="11" max="11" width="9.85546875" style="3" bestFit="1" customWidth="1"/>
    <col min="12" max="12" width="10.85546875" style="104" bestFit="1" customWidth="1"/>
    <col min="13" max="13" width="15.5703125" style="3" customWidth="1"/>
    <col min="14" max="14" width="13" style="3" customWidth="1"/>
    <col min="15" max="15" width="10" style="3" bestFit="1" customWidth="1"/>
    <col min="16" max="16384" width="9.140625" style="3"/>
  </cols>
  <sheetData>
    <row r="1" spans="1:12" s="8" customFormat="1" ht="15.75" x14ac:dyDescent="0.25">
      <c r="A1" s="172" t="s">
        <v>480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x14ac:dyDescent="0.2">
      <c r="A2" s="9"/>
      <c r="F2" s="10"/>
      <c r="G2" s="11"/>
      <c r="K2" s="12"/>
    </row>
    <row r="3" spans="1:12" ht="51.75" customHeight="1" x14ac:dyDescent="0.2">
      <c r="A3" s="134" t="s">
        <v>0</v>
      </c>
      <c r="B3" s="134"/>
      <c r="C3" s="134"/>
      <c r="D3" s="134"/>
      <c r="E3" s="134"/>
      <c r="F3" s="13" t="s">
        <v>1</v>
      </c>
      <c r="G3" s="14" t="s">
        <v>479</v>
      </c>
      <c r="H3" s="15" t="s">
        <v>140</v>
      </c>
      <c r="I3" s="15" t="s">
        <v>139</v>
      </c>
      <c r="J3" s="94" t="s">
        <v>180</v>
      </c>
      <c r="K3" s="15" t="s">
        <v>178</v>
      </c>
      <c r="L3" s="105" t="s">
        <v>179</v>
      </c>
    </row>
    <row r="4" spans="1:12" x14ac:dyDescent="0.2">
      <c r="A4" s="150" t="s">
        <v>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2"/>
    </row>
    <row r="5" spans="1:12" x14ac:dyDescent="0.2">
      <c r="A5" s="16">
        <v>1</v>
      </c>
      <c r="B5" s="128" t="s">
        <v>269</v>
      </c>
      <c r="C5" s="129"/>
      <c r="D5" s="129"/>
      <c r="E5" s="130"/>
      <c r="F5" s="16">
        <v>733100</v>
      </c>
      <c r="G5" s="17">
        <f t="shared" ref="G5:G56" si="0">SUM(H5:L5)</f>
        <v>0</v>
      </c>
      <c r="H5" s="18">
        <f>SUM(H6)</f>
        <v>0</v>
      </c>
      <c r="I5" s="18">
        <f>SUM(I6)</f>
        <v>0</v>
      </c>
      <c r="J5" s="95">
        <f>SUM(J6)</f>
        <v>0</v>
      </c>
      <c r="K5" s="18">
        <f>SUM(K6)</f>
        <v>0</v>
      </c>
      <c r="L5" s="95">
        <f>SUM(L6)</f>
        <v>0</v>
      </c>
    </row>
    <row r="6" spans="1:12" x14ac:dyDescent="0.2">
      <c r="A6" s="19"/>
      <c r="B6" s="20" t="s">
        <v>3</v>
      </c>
      <c r="C6" s="153" t="s">
        <v>264</v>
      </c>
      <c r="D6" s="154"/>
      <c r="E6" s="155"/>
      <c r="F6" s="16">
        <v>733121</v>
      </c>
      <c r="G6" s="21">
        <f t="shared" si="0"/>
        <v>0</v>
      </c>
      <c r="H6" s="22"/>
      <c r="I6" s="22"/>
      <c r="J6" s="96"/>
      <c r="K6" s="22"/>
      <c r="L6" s="92"/>
    </row>
    <row r="7" spans="1:12" x14ac:dyDescent="0.2">
      <c r="A7" s="16">
        <v>2</v>
      </c>
      <c r="B7" s="116" t="s">
        <v>392</v>
      </c>
      <c r="C7" s="116"/>
      <c r="D7" s="116"/>
      <c r="E7" s="117"/>
      <c r="F7" s="24">
        <v>741400</v>
      </c>
      <c r="G7" s="17">
        <f t="shared" si="0"/>
        <v>1000000</v>
      </c>
      <c r="H7" s="17">
        <f>SUM(H8)</f>
        <v>0</v>
      </c>
      <c r="I7" s="17">
        <f>SUM(I8)</f>
        <v>0</v>
      </c>
      <c r="J7" s="97">
        <f>SUM(J8)</f>
        <v>1000000</v>
      </c>
      <c r="K7" s="17">
        <f>SUM(K8)</f>
        <v>0</v>
      </c>
      <c r="L7" s="97">
        <f>SUM(L8)</f>
        <v>0</v>
      </c>
    </row>
    <row r="8" spans="1:12" x14ac:dyDescent="0.2">
      <c r="A8" s="25"/>
      <c r="B8" s="26" t="s">
        <v>90</v>
      </c>
      <c r="C8" s="109" t="s">
        <v>97</v>
      </c>
      <c r="D8" s="110"/>
      <c r="E8" s="111"/>
      <c r="F8" s="24">
        <v>741411</v>
      </c>
      <c r="G8" s="21">
        <f t="shared" si="0"/>
        <v>1000000</v>
      </c>
      <c r="H8" s="21"/>
      <c r="I8" s="23"/>
      <c r="J8" s="92">
        <v>1000000</v>
      </c>
      <c r="K8" s="21"/>
      <c r="L8" s="92"/>
    </row>
    <row r="9" spans="1:12" x14ac:dyDescent="0.2">
      <c r="A9" s="25">
        <v>3</v>
      </c>
      <c r="B9" s="115" t="s">
        <v>224</v>
      </c>
      <c r="C9" s="116"/>
      <c r="D9" s="116"/>
      <c r="E9" s="117"/>
      <c r="F9" s="24">
        <v>742300</v>
      </c>
      <c r="G9" s="17">
        <f t="shared" si="0"/>
        <v>24525609</v>
      </c>
      <c r="H9" s="18">
        <f>SUM(H10:H14)</f>
        <v>0</v>
      </c>
      <c r="I9" s="18">
        <f>SUM(I10:I14)</f>
        <v>0</v>
      </c>
      <c r="J9" s="95">
        <f>SUM(J10:J14)</f>
        <v>0</v>
      </c>
      <c r="K9" s="18">
        <f>SUM(K10:K14)</f>
        <v>0</v>
      </c>
      <c r="L9" s="95">
        <f>SUM(L10:L14)</f>
        <v>24525609</v>
      </c>
    </row>
    <row r="10" spans="1:12" x14ac:dyDescent="0.2">
      <c r="A10" s="25"/>
      <c r="B10" s="27" t="s">
        <v>69</v>
      </c>
      <c r="C10" s="131" t="s">
        <v>10</v>
      </c>
      <c r="D10" s="131"/>
      <c r="E10" s="131"/>
      <c r="F10" s="60">
        <v>742361</v>
      </c>
      <c r="G10" s="21">
        <f>SUM(H10:L10)</f>
        <v>2500000</v>
      </c>
      <c r="H10" s="21"/>
      <c r="I10" s="23"/>
      <c r="J10" s="92"/>
      <c r="K10" s="23"/>
      <c r="L10" s="92">
        <v>2500000</v>
      </c>
    </row>
    <row r="11" spans="1:12" s="33" customFormat="1" x14ac:dyDescent="0.2">
      <c r="A11" s="28"/>
      <c r="B11" s="29" t="s">
        <v>70</v>
      </c>
      <c r="C11" s="138" t="s">
        <v>286</v>
      </c>
      <c r="D11" s="138"/>
      <c r="E11" s="138"/>
      <c r="F11" s="60">
        <v>742373</v>
      </c>
      <c r="G11" s="31">
        <f t="shared" si="0"/>
        <v>14929621</v>
      </c>
      <c r="H11" s="31"/>
      <c r="I11" s="31"/>
      <c r="J11" s="98"/>
      <c r="K11" s="32"/>
      <c r="L11" s="98">
        <f>10000000+855381+400000+1739240+1910000+25000</f>
        <v>14929621</v>
      </c>
    </row>
    <row r="12" spans="1:12" x14ac:dyDescent="0.2">
      <c r="A12" s="25"/>
      <c r="B12" s="34" t="s">
        <v>71</v>
      </c>
      <c r="C12" s="139" t="s">
        <v>393</v>
      </c>
      <c r="D12" s="139"/>
      <c r="E12" s="139"/>
      <c r="F12" s="60">
        <v>742373</v>
      </c>
      <c r="G12" s="21">
        <f t="shared" si="0"/>
        <v>0</v>
      </c>
      <c r="H12" s="23"/>
      <c r="I12" s="21"/>
      <c r="J12" s="92"/>
      <c r="K12" s="23"/>
      <c r="L12" s="92"/>
    </row>
    <row r="13" spans="1:12" x14ac:dyDescent="0.2">
      <c r="A13" s="25"/>
      <c r="B13" s="35" t="s">
        <v>72</v>
      </c>
      <c r="C13" s="143" t="s">
        <v>55</v>
      </c>
      <c r="D13" s="143"/>
      <c r="E13" s="143"/>
      <c r="F13" s="60">
        <v>742373</v>
      </c>
      <c r="G13" s="21">
        <f t="shared" si="0"/>
        <v>0</v>
      </c>
      <c r="H13" s="23"/>
      <c r="I13" s="21"/>
      <c r="J13" s="92"/>
      <c r="K13" s="23"/>
      <c r="L13" s="92" t="s">
        <v>371</v>
      </c>
    </row>
    <row r="14" spans="1:12" x14ac:dyDescent="0.2">
      <c r="A14" s="25"/>
      <c r="B14" s="35" t="s">
        <v>73</v>
      </c>
      <c r="C14" s="135" t="s">
        <v>481</v>
      </c>
      <c r="D14" s="136"/>
      <c r="E14" s="137"/>
      <c r="F14" s="60">
        <v>742373</v>
      </c>
      <c r="G14" s="21">
        <f t="shared" si="0"/>
        <v>7095988</v>
      </c>
      <c r="H14" s="23"/>
      <c r="I14" s="21"/>
      <c r="J14" s="92"/>
      <c r="K14" s="23"/>
      <c r="L14" s="92">
        <v>7095988</v>
      </c>
    </row>
    <row r="15" spans="1:12" x14ac:dyDescent="0.2">
      <c r="A15" s="16">
        <v>4</v>
      </c>
      <c r="B15" s="128" t="s">
        <v>225</v>
      </c>
      <c r="C15" s="129"/>
      <c r="D15" s="129"/>
      <c r="E15" s="130"/>
      <c r="F15" s="36">
        <v>744100</v>
      </c>
      <c r="G15" s="17">
        <f t="shared" si="0"/>
        <v>625666</v>
      </c>
      <c r="H15" s="18">
        <f>SUM(H16:H17)</f>
        <v>0</v>
      </c>
      <c r="I15" s="18">
        <f>SUM(I16:I17)</f>
        <v>0</v>
      </c>
      <c r="J15" s="95">
        <f>SUM(J16:J17)</f>
        <v>0</v>
      </c>
      <c r="K15" s="18">
        <f>SUM(K16:K17)</f>
        <v>625666</v>
      </c>
      <c r="L15" s="95">
        <f>SUM(L16:L17)</f>
        <v>0</v>
      </c>
    </row>
    <row r="16" spans="1:12" x14ac:dyDescent="0.2">
      <c r="A16" s="20"/>
      <c r="B16" s="37" t="s">
        <v>12</v>
      </c>
      <c r="C16" s="131" t="s">
        <v>11</v>
      </c>
      <c r="D16" s="131"/>
      <c r="E16" s="131"/>
      <c r="F16" s="36">
        <v>744161</v>
      </c>
      <c r="G16" s="21">
        <f t="shared" si="0"/>
        <v>0</v>
      </c>
      <c r="H16" s="23"/>
      <c r="I16" s="23"/>
      <c r="J16" s="92"/>
      <c r="K16" s="23"/>
      <c r="L16" s="92"/>
    </row>
    <row r="17" spans="1:12" x14ac:dyDescent="0.2">
      <c r="A17" s="20"/>
      <c r="B17" s="37" t="s">
        <v>13</v>
      </c>
      <c r="C17" s="109" t="s">
        <v>481</v>
      </c>
      <c r="D17" s="110"/>
      <c r="E17" s="111"/>
      <c r="F17" s="36">
        <v>744161</v>
      </c>
      <c r="G17" s="21">
        <f t="shared" si="0"/>
        <v>625666</v>
      </c>
      <c r="H17" s="23"/>
      <c r="I17" s="23"/>
      <c r="J17" s="92"/>
      <c r="K17" s="23">
        <v>625666</v>
      </c>
      <c r="L17" s="92"/>
    </row>
    <row r="18" spans="1:12" x14ac:dyDescent="0.2">
      <c r="A18" s="25">
        <v>5</v>
      </c>
      <c r="B18" s="147" t="s">
        <v>394</v>
      </c>
      <c r="C18" s="148"/>
      <c r="D18" s="148"/>
      <c r="E18" s="149"/>
      <c r="F18" s="36">
        <v>745100</v>
      </c>
      <c r="G18" s="17">
        <f t="shared" si="0"/>
        <v>500000</v>
      </c>
      <c r="H18" s="18">
        <f>SUM(H19:H20)</f>
        <v>0</v>
      </c>
      <c r="I18" s="18">
        <f>SUM(I19:I20)</f>
        <v>0</v>
      </c>
      <c r="J18" s="95">
        <f>SUM(J19:J20)</f>
        <v>0</v>
      </c>
      <c r="K18" s="18">
        <f>SUM(K19:K20)</f>
        <v>0</v>
      </c>
      <c r="L18" s="95">
        <f>SUM(L19:L20)</f>
        <v>500000</v>
      </c>
    </row>
    <row r="19" spans="1:12" x14ac:dyDescent="0.2">
      <c r="A19" s="25"/>
      <c r="B19" s="38" t="s">
        <v>40</v>
      </c>
      <c r="C19" s="140" t="s">
        <v>135</v>
      </c>
      <c r="D19" s="141"/>
      <c r="E19" s="142"/>
      <c r="F19" s="36">
        <v>745161</v>
      </c>
      <c r="G19" s="21">
        <f t="shared" si="0"/>
        <v>500000</v>
      </c>
      <c r="H19" s="18"/>
      <c r="I19" s="23"/>
      <c r="J19" s="95"/>
      <c r="K19" s="18"/>
      <c r="L19" s="92">
        <v>500000</v>
      </c>
    </row>
    <row r="20" spans="1:12" x14ac:dyDescent="0.2">
      <c r="A20" s="25"/>
      <c r="B20" s="38" t="s">
        <v>41</v>
      </c>
      <c r="C20" s="140" t="s">
        <v>133</v>
      </c>
      <c r="D20" s="141"/>
      <c r="E20" s="142"/>
      <c r="F20" s="36">
        <v>745100</v>
      </c>
      <c r="G20" s="21">
        <f t="shared" si="0"/>
        <v>0</v>
      </c>
      <c r="H20" s="18"/>
      <c r="I20" s="18"/>
      <c r="J20" s="95"/>
      <c r="K20" s="18"/>
      <c r="L20" s="92"/>
    </row>
    <row r="21" spans="1:12" x14ac:dyDescent="0.2">
      <c r="A21" s="39">
        <v>6</v>
      </c>
      <c r="B21" s="115" t="s">
        <v>235</v>
      </c>
      <c r="C21" s="116"/>
      <c r="D21" s="116"/>
      <c r="E21" s="117"/>
      <c r="F21" s="24">
        <v>771100</v>
      </c>
      <c r="G21" s="17">
        <f t="shared" si="0"/>
        <v>0</v>
      </c>
      <c r="H21" s="18">
        <f>SUM(H22:H25)</f>
        <v>0</v>
      </c>
      <c r="I21" s="18">
        <f>SUM(I22:I25)</f>
        <v>0</v>
      </c>
      <c r="J21" s="95">
        <f>SUM(J22:J25)</f>
        <v>0</v>
      </c>
      <c r="K21" s="18">
        <f>SUM(K22:K25)</f>
        <v>0</v>
      </c>
      <c r="L21" s="95">
        <f>SUM(L22:L25)</f>
        <v>0</v>
      </c>
    </row>
    <row r="22" spans="1:12" x14ac:dyDescent="0.2">
      <c r="A22" s="39"/>
      <c r="B22" s="27" t="s">
        <v>43</v>
      </c>
      <c r="C22" s="144" t="s">
        <v>136</v>
      </c>
      <c r="D22" s="145"/>
      <c r="E22" s="146"/>
      <c r="F22" s="24">
        <v>771111</v>
      </c>
      <c r="G22" s="21">
        <f t="shared" si="0"/>
        <v>0</v>
      </c>
      <c r="H22" s="23"/>
      <c r="I22" s="17"/>
      <c r="J22" s="95"/>
      <c r="K22" s="18"/>
      <c r="L22" s="92"/>
    </row>
    <row r="23" spans="1:12" x14ac:dyDescent="0.2">
      <c r="A23" s="39"/>
      <c r="B23" s="27" t="s">
        <v>45</v>
      </c>
      <c r="C23" s="118" t="s">
        <v>137</v>
      </c>
      <c r="D23" s="156"/>
      <c r="E23" s="119"/>
      <c r="F23" s="24">
        <v>771111</v>
      </c>
      <c r="G23" s="21">
        <f t="shared" si="0"/>
        <v>0</v>
      </c>
      <c r="H23" s="18"/>
      <c r="I23" s="21"/>
      <c r="J23" s="95"/>
      <c r="K23" s="23"/>
      <c r="L23" s="92"/>
    </row>
    <row r="24" spans="1:12" x14ac:dyDescent="0.2">
      <c r="A24" s="39"/>
      <c r="B24" s="27" t="s">
        <v>307</v>
      </c>
      <c r="C24" s="118" t="s">
        <v>138</v>
      </c>
      <c r="D24" s="156"/>
      <c r="E24" s="119"/>
      <c r="F24" s="24">
        <v>771111</v>
      </c>
      <c r="G24" s="21">
        <f t="shared" si="0"/>
        <v>0</v>
      </c>
      <c r="H24" s="18"/>
      <c r="I24" s="17"/>
      <c r="J24" s="95"/>
      <c r="K24" s="23"/>
      <c r="L24" s="92"/>
    </row>
    <row r="25" spans="1:12" x14ac:dyDescent="0.2">
      <c r="A25" s="39"/>
      <c r="B25" s="27" t="s">
        <v>47</v>
      </c>
      <c r="C25" s="118" t="s">
        <v>152</v>
      </c>
      <c r="D25" s="156"/>
      <c r="E25" s="119"/>
      <c r="F25" s="24">
        <v>771111</v>
      </c>
      <c r="G25" s="21">
        <f t="shared" si="0"/>
        <v>0</v>
      </c>
      <c r="H25" s="23"/>
      <c r="I25" s="21"/>
      <c r="J25" s="92"/>
      <c r="K25" s="18"/>
      <c r="L25" s="92"/>
    </row>
    <row r="26" spans="1:12" x14ac:dyDescent="0.2">
      <c r="A26" s="25">
        <v>7</v>
      </c>
      <c r="B26" s="173" t="s">
        <v>395</v>
      </c>
      <c r="C26" s="173"/>
      <c r="D26" s="173"/>
      <c r="E26" s="173"/>
      <c r="F26" s="24">
        <v>781000</v>
      </c>
      <c r="G26" s="17">
        <f t="shared" si="0"/>
        <v>4672057849</v>
      </c>
      <c r="H26" s="18">
        <f>SUM(H27)</f>
        <v>1688420</v>
      </c>
      <c r="I26" s="18">
        <f>SUM(I27)</f>
        <v>0</v>
      </c>
      <c r="J26" s="95">
        <f>SUM(J27)</f>
        <v>4589819753</v>
      </c>
      <c r="K26" s="18">
        <f>SUM(K27)</f>
        <v>0</v>
      </c>
      <c r="L26" s="95">
        <f>SUM(L27)</f>
        <v>80549676</v>
      </c>
    </row>
    <row r="27" spans="1:12" x14ac:dyDescent="0.2">
      <c r="A27" s="25"/>
      <c r="B27" s="39" t="s">
        <v>81</v>
      </c>
      <c r="C27" s="117" t="s">
        <v>236</v>
      </c>
      <c r="D27" s="126"/>
      <c r="E27" s="126"/>
      <c r="F27" s="24">
        <v>781100</v>
      </c>
      <c r="G27" s="17">
        <f t="shared" si="0"/>
        <v>4672057849</v>
      </c>
      <c r="H27" s="18">
        <f>H28+H29+H35+H36+H39+H40+H41+H42+H44+H45+H46+H47+H48+H49+H50+H51+H52</f>
        <v>1688420</v>
      </c>
      <c r="I27" s="18">
        <f>I28+I29+I35+I36+I39+I40+I41+I42+I44+I45+I46+I47+I48+I49+I50+I51</f>
        <v>0</v>
      </c>
      <c r="J27" s="95">
        <f>J28+J29+J35+J36+J37+J39+J40+J41+J42+J44+J45+J46+J47+J48+J49+J50+J51+J43</f>
        <v>4589819753</v>
      </c>
      <c r="K27" s="18">
        <f>K28+K29+K35+K36+K39+K40+K41+K42+K44+K45+K46+K47+K48</f>
        <v>0</v>
      </c>
      <c r="L27" s="95">
        <f>L28+L29+L35+L36+L38+L39+L40+L41+L42+L44+L45+L46+L47+L48+L49+L51+L50+L52</f>
        <v>80549676</v>
      </c>
    </row>
    <row r="28" spans="1:12" x14ac:dyDescent="0.2">
      <c r="A28" s="25"/>
      <c r="B28" s="26"/>
      <c r="C28" s="40" t="s">
        <v>265</v>
      </c>
      <c r="D28" s="111" t="s">
        <v>396</v>
      </c>
      <c r="E28" s="131"/>
      <c r="F28" s="24">
        <v>781111</v>
      </c>
      <c r="G28" s="17">
        <f t="shared" si="0"/>
        <v>4028942955</v>
      </c>
      <c r="H28" s="18">
        <v>1150000</v>
      </c>
      <c r="I28" s="23"/>
      <c r="J28" s="95">
        <f>4108329000-80536045</f>
        <v>4027792955</v>
      </c>
      <c r="K28" s="23"/>
      <c r="L28" s="92"/>
    </row>
    <row r="29" spans="1:12" x14ac:dyDescent="0.2">
      <c r="A29" s="25"/>
      <c r="B29" s="26"/>
      <c r="C29" s="40" t="s">
        <v>266</v>
      </c>
      <c r="D29" s="109" t="s">
        <v>397</v>
      </c>
      <c r="E29" s="111"/>
      <c r="F29" s="24">
        <v>781111</v>
      </c>
      <c r="G29" s="17">
        <f t="shared" si="0"/>
        <v>216361000</v>
      </c>
      <c r="H29" s="18">
        <f>SUM(H30:H34)</f>
        <v>0</v>
      </c>
      <c r="I29" s="18">
        <f>SUM(I30:I34)</f>
        <v>0</v>
      </c>
      <c r="J29" s="95">
        <f>SUM(J30:J34)</f>
        <v>216361000</v>
      </c>
      <c r="K29" s="18">
        <f>SUM(K30:K34)</f>
        <v>0</v>
      </c>
      <c r="L29" s="95">
        <f>SUM(L30:L34)</f>
        <v>0</v>
      </c>
    </row>
    <row r="30" spans="1:12" x14ac:dyDescent="0.2">
      <c r="A30" s="25"/>
      <c r="B30" s="26"/>
      <c r="C30" s="40"/>
      <c r="D30" s="40" t="s">
        <v>267</v>
      </c>
      <c r="E30" s="41" t="s">
        <v>399</v>
      </c>
      <c r="F30" s="24">
        <v>781111</v>
      </c>
      <c r="G30" s="21">
        <f t="shared" si="0"/>
        <v>39073000</v>
      </c>
      <c r="H30" s="18"/>
      <c r="I30" s="23"/>
      <c r="J30" s="92">
        <v>39073000</v>
      </c>
      <c r="K30" s="23"/>
      <c r="L30" s="92"/>
    </row>
    <row r="31" spans="1:12" x14ac:dyDescent="0.2">
      <c r="A31" s="25"/>
      <c r="B31" s="26"/>
      <c r="C31" s="40"/>
      <c r="D31" s="40" t="s">
        <v>268</v>
      </c>
      <c r="E31" s="41" t="s">
        <v>177</v>
      </c>
      <c r="F31" s="24">
        <v>781111</v>
      </c>
      <c r="G31" s="21">
        <f t="shared" si="0"/>
        <v>49632000</v>
      </c>
      <c r="H31" s="18"/>
      <c r="I31" s="23"/>
      <c r="J31" s="92">
        <v>49632000</v>
      </c>
      <c r="K31" s="23"/>
      <c r="L31" s="92"/>
    </row>
    <row r="32" spans="1:12" x14ac:dyDescent="0.2">
      <c r="A32" s="25"/>
      <c r="B32" s="26"/>
      <c r="C32" s="40"/>
      <c r="D32" s="40" t="s">
        <v>270</v>
      </c>
      <c r="E32" s="41" t="s">
        <v>400</v>
      </c>
      <c r="F32" s="24">
        <v>781111</v>
      </c>
      <c r="G32" s="21">
        <f t="shared" si="0"/>
        <v>39897000</v>
      </c>
      <c r="H32" s="18"/>
      <c r="I32" s="23"/>
      <c r="J32" s="92">
        <v>39897000</v>
      </c>
      <c r="K32" s="23"/>
      <c r="L32" s="92"/>
    </row>
    <row r="33" spans="1:12" x14ac:dyDescent="0.2">
      <c r="A33" s="25"/>
      <c r="B33" s="26"/>
      <c r="C33" s="40"/>
      <c r="D33" s="40" t="s">
        <v>271</v>
      </c>
      <c r="E33" s="41" t="s">
        <v>470</v>
      </c>
      <c r="F33" s="24">
        <v>781111</v>
      </c>
      <c r="G33" s="21">
        <f t="shared" si="0"/>
        <v>42812000</v>
      </c>
      <c r="H33" s="18"/>
      <c r="I33" s="23"/>
      <c r="J33" s="92">
        <v>42812000</v>
      </c>
      <c r="K33" s="23"/>
      <c r="L33" s="92"/>
    </row>
    <row r="34" spans="1:12" x14ac:dyDescent="0.2">
      <c r="A34" s="25"/>
      <c r="B34" s="26"/>
      <c r="C34" s="40"/>
      <c r="D34" s="40" t="s">
        <v>469</v>
      </c>
      <c r="E34" s="41" t="s">
        <v>401</v>
      </c>
      <c r="F34" s="24">
        <v>781111</v>
      </c>
      <c r="G34" s="21">
        <f t="shared" si="0"/>
        <v>44947000</v>
      </c>
      <c r="H34" s="18"/>
      <c r="I34" s="23"/>
      <c r="J34" s="92">
        <v>44947000</v>
      </c>
      <c r="K34" s="23"/>
      <c r="L34" s="92"/>
    </row>
    <row r="35" spans="1:12" x14ac:dyDescent="0.2">
      <c r="A35" s="25"/>
      <c r="B35" s="26"/>
      <c r="C35" s="40" t="s">
        <v>272</v>
      </c>
      <c r="D35" s="111" t="s">
        <v>4</v>
      </c>
      <c r="E35" s="131"/>
      <c r="F35" s="24">
        <v>781111</v>
      </c>
      <c r="G35" s="21">
        <f t="shared" si="0"/>
        <v>2536000</v>
      </c>
      <c r="H35" s="18"/>
      <c r="I35" s="23"/>
      <c r="J35" s="98">
        <v>2536000</v>
      </c>
      <c r="K35" s="23"/>
      <c r="L35" s="92"/>
    </row>
    <row r="36" spans="1:12" x14ac:dyDescent="0.2">
      <c r="A36" s="25"/>
      <c r="B36" s="26"/>
      <c r="C36" s="40" t="s">
        <v>273</v>
      </c>
      <c r="D36" s="111" t="s">
        <v>482</v>
      </c>
      <c r="E36" s="131"/>
      <c r="F36" s="24">
        <v>781111</v>
      </c>
      <c r="G36" s="17">
        <f t="shared" si="0"/>
        <v>225487009</v>
      </c>
      <c r="H36" s="18"/>
      <c r="I36" s="23"/>
      <c r="J36" s="98">
        <v>225487009</v>
      </c>
      <c r="K36" s="23"/>
      <c r="L36" s="92"/>
    </row>
    <row r="37" spans="1:12" x14ac:dyDescent="0.2">
      <c r="A37" s="25"/>
      <c r="B37" s="26"/>
      <c r="C37" s="40" t="s">
        <v>274</v>
      </c>
      <c r="D37" s="111" t="s">
        <v>483</v>
      </c>
      <c r="E37" s="131"/>
      <c r="F37" s="24">
        <v>781111</v>
      </c>
      <c r="G37" s="17">
        <f t="shared" si="0"/>
        <v>43043000</v>
      </c>
      <c r="H37" s="18"/>
      <c r="I37" s="23"/>
      <c r="J37" s="98">
        <v>43043000</v>
      </c>
      <c r="K37" s="23"/>
      <c r="L37" s="92"/>
    </row>
    <row r="38" spans="1:12" x14ac:dyDescent="0.2">
      <c r="A38" s="25"/>
      <c r="B38" s="26"/>
      <c r="C38" s="40" t="s">
        <v>275</v>
      </c>
      <c r="D38" s="109" t="s">
        <v>484</v>
      </c>
      <c r="E38" s="111"/>
      <c r="F38" s="24">
        <v>781111</v>
      </c>
      <c r="G38" s="17">
        <f t="shared" si="0"/>
        <v>80536045</v>
      </c>
      <c r="H38" s="18"/>
      <c r="I38" s="23"/>
      <c r="J38" s="98"/>
      <c r="K38" s="23"/>
      <c r="L38" s="98">
        <v>80536045</v>
      </c>
    </row>
    <row r="39" spans="1:12" x14ac:dyDescent="0.2">
      <c r="A39" s="25"/>
      <c r="B39" s="26"/>
      <c r="C39" s="40" t="s">
        <v>276</v>
      </c>
      <c r="D39" s="111" t="s">
        <v>485</v>
      </c>
      <c r="E39" s="131"/>
      <c r="F39" s="24">
        <v>321311</v>
      </c>
      <c r="G39" s="17">
        <f t="shared" si="0"/>
        <v>599789</v>
      </c>
      <c r="H39" s="18"/>
      <c r="I39" s="23"/>
      <c r="J39" s="98">
        <v>599789</v>
      </c>
      <c r="K39" s="18"/>
      <c r="L39" s="95"/>
    </row>
    <row r="40" spans="1:12" s="42" customFormat="1" x14ac:dyDescent="0.2">
      <c r="A40" s="25"/>
      <c r="B40" s="39"/>
      <c r="C40" s="40" t="s">
        <v>277</v>
      </c>
      <c r="D40" s="109" t="s">
        <v>353</v>
      </c>
      <c r="E40" s="111"/>
      <c r="F40" s="24">
        <v>781111</v>
      </c>
      <c r="G40" s="17">
        <f t="shared" si="0"/>
        <v>54900000</v>
      </c>
      <c r="H40" s="18"/>
      <c r="I40" s="18"/>
      <c r="J40" s="98">
        <f>34500000+20000000+400000</f>
        <v>54900000</v>
      </c>
      <c r="K40" s="18"/>
      <c r="L40" s="95"/>
    </row>
    <row r="41" spans="1:12" x14ac:dyDescent="0.2">
      <c r="A41" s="25"/>
      <c r="B41" s="26"/>
      <c r="C41" s="43" t="s">
        <v>345</v>
      </c>
      <c r="D41" s="109" t="s">
        <v>57</v>
      </c>
      <c r="E41" s="111"/>
      <c r="F41" s="24">
        <v>781111</v>
      </c>
      <c r="G41" s="17">
        <f t="shared" si="0"/>
        <v>0</v>
      </c>
      <c r="H41" s="18"/>
      <c r="I41" s="23"/>
      <c r="J41" s="98"/>
      <c r="K41" s="23"/>
      <c r="L41" s="92"/>
    </row>
    <row r="42" spans="1:12" x14ac:dyDescent="0.2">
      <c r="A42" s="25"/>
      <c r="B42" s="26"/>
      <c r="C42" s="40" t="s">
        <v>346</v>
      </c>
      <c r="D42" s="109" t="s">
        <v>490</v>
      </c>
      <c r="E42" s="111"/>
      <c r="F42" s="24">
        <v>781111</v>
      </c>
      <c r="G42" s="17">
        <f t="shared" si="0"/>
        <v>7500000</v>
      </c>
      <c r="H42" s="18"/>
      <c r="I42" s="23"/>
      <c r="J42" s="98">
        <v>7500000</v>
      </c>
      <c r="K42" s="23"/>
      <c r="L42" s="92"/>
    </row>
    <row r="43" spans="1:12" x14ac:dyDescent="0.2">
      <c r="A43" s="25"/>
      <c r="B43" s="44"/>
      <c r="C43" s="40" t="s">
        <v>347</v>
      </c>
      <c r="D43" s="109" t="s">
        <v>493</v>
      </c>
      <c r="E43" s="111"/>
      <c r="F43" s="24">
        <v>781111</v>
      </c>
      <c r="G43" s="17"/>
      <c r="H43" s="18"/>
      <c r="I43" s="23"/>
      <c r="J43" s="98">
        <v>4000000</v>
      </c>
      <c r="K43" s="23"/>
      <c r="L43" s="92"/>
    </row>
    <row r="44" spans="1:12" x14ac:dyDescent="0.2">
      <c r="A44" s="25"/>
      <c r="B44" s="44"/>
      <c r="C44" s="40" t="s">
        <v>355</v>
      </c>
      <c r="D44" s="109" t="s">
        <v>341</v>
      </c>
      <c r="E44" s="111"/>
      <c r="F44" s="24">
        <v>781111</v>
      </c>
      <c r="G44" s="17">
        <f t="shared" ref="G44:G52" si="1">SUM(H44:L44)</f>
        <v>0</v>
      </c>
      <c r="H44" s="18"/>
      <c r="I44" s="23"/>
      <c r="J44" s="98"/>
      <c r="K44" s="23"/>
      <c r="L44" s="92"/>
    </row>
    <row r="45" spans="1:12" x14ac:dyDescent="0.2">
      <c r="A45" s="25"/>
      <c r="B45" s="44"/>
      <c r="C45" s="40" t="s">
        <v>359</v>
      </c>
      <c r="D45" s="109" t="s">
        <v>342</v>
      </c>
      <c r="E45" s="111"/>
      <c r="F45" s="24">
        <v>781111</v>
      </c>
      <c r="G45" s="17">
        <f t="shared" si="1"/>
        <v>0</v>
      </c>
      <c r="H45" s="18"/>
      <c r="I45" s="23"/>
      <c r="J45" s="98"/>
      <c r="K45" s="23"/>
      <c r="L45" s="92"/>
    </row>
    <row r="46" spans="1:12" x14ac:dyDescent="0.2">
      <c r="A46" s="25"/>
      <c r="B46" s="44"/>
      <c r="C46" s="40" t="s">
        <v>366</v>
      </c>
      <c r="D46" s="109" t="s">
        <v>348</v>
      </c>
      <c r="E46" s="111"/>
      <c r="F46" s="24">
        <v>781111</v>
      </c>
      <c r="G46" s="17">
        <f t="shared" si="1"/>
        <v>0</v>
      </c>
      <c r="H46" s="18"/>
      <c r="I46" s="23"/>
      <c r="J46" s="98">
        <v>0</v>
      </c>
      <c r="K46" s="23"/>
      <c r="L46" s="92"/>
    </row>
    <row r="47" spans="1:12" x14ac:dyDescent="0.2">
      <c r="A47" s="25"/>
      <c r="B47" s="44"/>
      <c r="C47" s="40" t="s">
        <v>380</v>
      </c>
      <c r="D47" s="109" t="s">
        <v>356</v>
      </c>
      <c r="E47" s="111"/>
      <c r="F47" s="24">
        <v>781111</v>
      </c>
      <c r="G47" s="17">
        <f t="shared" si="1"/>
        <v>0</v>
      </c>
      <c r="H47" s="18"/>
      <c r="I47" s="23"/>
      <c r="J47" s="98"/>
      <c r="K47" s="23"/>
      <c r="L47" s="92"/>
    </row>
    <row r="48" spans="1:12" x14ac:dyDescent="0.2">
      <c r="A48" s="25"/>
      <c r="B48" s="44"/>
      <c r="C48" s="40" t="s">
        <v>389</v>
      </c>
      <c r="D48" s="109" t="s">
        <v>360</v>
      </c>
      <c r="E48" s="111"/>
      <c r="F48" s="24">
        <v>781111</v>
      </c>
      <c r="G48" s="17">
        <f t="shared" si="1"/>
        <v>0</v>
      </c>
      <c r="H48" s="18"/>
      <c r="I48" s="23"/>
      <c r="J48" s="98"/>
      <c r="K48" s="23"/>
      <c r="L48" s="92"/>
    </row>
    <row r="49" spans="1:12" x14ac:dyDescent="0.2">
      <c r="A49" s="25"/>
      <c r="B49" s="44"/>
      <c r="C49" s="40" t="s">
        <v>398</v>
      </c>
      <c r="D49" s="109" t="s">
        <v>367</v>
      </c>
      <c r="E49" s="111"/>
      <c r="F49" s="24">
        <v>781111</v>
      </c>
      <c r="G49" s="17">
        <f t="shared" si="1"/>
        <v>0</v>
      </c>
      <c r="H49" s="18"/>
      <c r="I49" s="23"/>
      <c r="J49" s="98"/>
      <c r="K49" s="23"/>
      <c r="L49" s="92"/>
    </row>
    <row r="50" spans="1:12" x14ac:dyDescent="0.2">
      <c r="A50" s="25"/>
      <c r="B50" s="44"/>
      <c r="C50" s="40" t="s">
        <v>436</v>
      </c>
      <c r="D50" s="110" t="s">
        <v>402</v>
      </c>
      <c r="E50" s="111"/>
      <c r="F50" s="24">
        <v>781111</v>
      </c>
      <c r="G50" s="17">
        <f t="shared" si="1"/>
        <v>0</v>
      </c>
      <c r="H50" s="18"/>
      <c r="I50" s="23"/>
      <c r="J50" s="98"/>
      <c r="K50" s="23"/>
      <c r="L50" s="92"/>
    </row>
    <row r="51" spans="1:12" x14ac:dyDescent="0.2">
      <c r="A51" s="25"/>
      <c r="B51" s="44"/>
      <c r="C51" s="40" t="s">
        <v>486</v>
      </c>
      <c r="D51" s="109" t="s">
        <v>447</v>
      </c>
      <c r="E51" s="111"/>
      <c r="F51" s="24">
        <v>781111</v>
      </c>
      <c r="G51" s="17">
        <f t="shared" si="1"/>
        <v>7600000</v>
      </c>
      <c r="H51" s="18"/>
      <c r="I51" s="23"/>
      <c r="J51" s="98">
        <v>7600000</v>
      </c>
      <c r="K51" s="23"/>
      <c r="L51" s="92"/>
    </row>
    <row r="52" spans="1:12" x14ac:dyDescent="0.2">
      <c r="A52" s="25"/>
      <c r="B52" s="26"/>
      <c r="C52" s="40" t="s">
        <v>492</v>
      </c>
      <c r="D52" s="110" t="s">
        <v>487</v>
      </c>
      <c r="E52" s="111"/>
      <c r="F52" s="24">
        <v>781121</v>
      </c>
      <c r="G52" s="21">
        <f t="shared" si="1"/>
        <v>552051</v>
      </c>
      <c r="H52" s="23">
        <v>538420</v>
      </c>
      <c r="I52" s="23"/>
      <c r="J52" s="98"/>
      <c r="K52" s="23"/>
      <c r="L52" s="92">
        <v>13631</v>
      </c>
    </row>
    <row r="53" spans="1:12" x14ac:dyDescent="0.2">
      <c r="A53" s="39">
        <v>8</v>
      </c>
      <c r="B53" s="115" t="s">
        <v>53</v>
      </c>
      <c r="C53" s="116"/>
      <c r="D53" s="116"/>
      <c r="E53" s="117"/>
      <c r="F53" s="24">
        <v>791100</v>
      </c>
      <c r="G53" s="17">
        <f t="shared" si="0"/>
        <v>0</v>
      </c>
      <c r="H53" s="18">
        <f>SUM(H54:H55)</f>
        <v>0</v>
      </c>
      <c r="I53" s="18">
        <f>SUM(I54:I55)</f>
        <v>0</v>
      </c>
      <c r="J53" s="95">
        <f>SUM(J54:J55)</f>
        <v>0</v>
      </c>
      <c r="K53" s="18">
        <f>SUM(K54:K55)</f>
        <v>0</v>
      </c>
      <c r="L53" s="95">
        <f>SUM(L54:L55)</f>
        <v>0</v>
      </c>
    </row>
    <row r="54" spans="1:12" x14ac:dyDescent="0.2">
      <c r="A54" s="39"/>
      <c r="B54" s="27" t="s">
        <v>144</v>
      </c>
      <c r="C54" s="118" t="s">
        <v>140</v>
      </c>
      <c r="D54" s="156"/>
      <c r="E54" s="119"/>
      <c r="F54" s="24">
        <v>791111</v>
      </c>
      <c r="G54" s="21">
        <f t="shared" si="0"/>
        <v>0</v>
      </c>
      <c r="H54" s="23"/>
      <c r="I54" s="23"/>
      <c r="J54" s="92"/>
      <c r="K54" s="21"/>
      <c r="L54" s="92"/>
    </row>
    <row r="55" spans="1:12" x14ac:dyDescent="0.2">
      <c r="A55" s="39"/>
      <c r="B55" s="27" t="s">
        <v>145</v>
      </c>
      <c r="C55" s="118" t="s">
        <v>55</v>
      </c>
      <c r="D55" s="156"/>
      <c r="E55" s="119"/>
      <c r="F55" s="24">
        <v>791100</v>
      </c>
      <c r="G55" s="21">
        <f t="shared" si="0"/>
        <v>0</v>
      </c>
      <c r="H55" s="23"/>
      <c r="I55" s="23"/>
      <c r="J55" s="92"/>
      <c r="K55" s="17"/>
      <c r="L55" s="92"/>
    </row>
    <row r="56" spans="1:12" x14ac:dyDescent="0.2">
      <c r="A56" s="115" t="s">
        <v>54</v>
      </c>
      <c r="B56" s="116"/>
      <c r="C56" s="116"/>
      <c r="D56" s="116"/>
      <c r="E56" s="117"/>
      <c r="F56" s="24">
        <v>700000</v>
      </c>
      <c r="G56" s="17">
        <f t="shared" si="0"/>
        <v>4698709124</v>
      </c>
      <c r="H56" s="18">
        <f>H5+H7+H9+H15+H18+H21+H26+H53</f>
        <v>1688420</v>
      </c>
      <c r="I56" s="18">
        <f>I5+I7+I9+I15+I18+I21+I26+I53</f>
        <v>0</v>
      </c>
      <c r="J56" s="95">
        <f>J5+J7+J9+J15+J18+J21+J26+J53</f>
        <v>4590819753</v>
      </c>
      <c r="K56" s="18">
        <f>K5+K7+K9+K15+K18+K21+K26+K53</f>
        <v>625666</v>
      </c>
      <c r="L56" s="95">
        <f>L5+L7+L9+L15+L18+L21+L26+L53</f>
        <v>105575285</v>
      </c>
    </row>
    <row r="57" spans="1:12" s="49" customFormat="1" x14ac:dyDescent="0.2">
      <c r="A57" s="45">
        <v>9</v>
      </c>
      <c r="B57" s="160" t="s">
        <v>466</v>
      </c>
      <c r="C57" s="160"/>
      <c r="D57" s="160"/>
      <c r="E57" s="160"/>
      <c r="F57" s="46">
        <v>812000</v>
      </c>
      <c r="G57" s="47">
        <f>H57+I57+J57+K57+L57</f>
        <v>439000</v>
      </c>
      <c r="H57" s="48">
        <f>H58</f>
        <v>439000</v>
      </c>
      <c r="I57" s="48"/>
      <c r="J57" s="99"/>
      <c r="K57" s="48"/>
      <c r="L57" s="99"/>
    </row>
    <row r="58" spans="1:12" x14ac:dyDescent="0.2">
      <c r="A58" s="50"/>
      <c r="B58" s="51" t="s">
        <v>146</v>
      </c>
      <c r="C58" s="161" t="s">
        <v>466</v>
      </c>
      <c r="D58" s="161"/>
      <c r="E58" s="161"/>
      <c r="F58" s="24">
        <v>812100</v>
      </c>
      <c r="G58" s="31">
        <f>H58+I58+J58+K58+L58</f>
        <v>439000</v>
      </c>
      <c r="H58" s="32">
        <v>439000</v>
      </c>
      <c r="I58" s="18"/>
      <c r="J58" s="95"/>
      <c r="K58" s="18"/>
      <c r="L58" s="95"/>
    </row>
    <row r="59" spans="1:12" x14ac:dyDescent="0.2">
      <c r="A59" s="162" t="s">
        <v>54</v>
      </c>
      <c r="B59" s="163"/>
      <c r="C59" s="163"/>
      <c r="D59" s="163"/>
      <c r="E59" s="164"/>
      <c r="F59" s="24"/>
      <c r="G59" s="17">
        <f>G56+G58</f>
        <v>4699148124</v>
      </c>
      <c r="H59" s="17">
        <f t="shared" ref="H59:L59" si="2">H56+H58</f>
        <v>2127420</v>
      </c>
      <c r="I59" s="17">
        <f t="shared" si="2"/>
        <v>0</v>
      </c>
      <c r="J59" s="97">
        <f t="shared" si="2"/>
        <v>4590819753</v>
      </c>
      <c r="K59" s="17">
        <f t="shared" si="2"/>
        <v>625666</v>
      </c>
      <c r="L59" s="97">
        <f t="shared" si="2"/>
        <v>105575285</v>
      </c>
    </row>
    <row r="60" spans="1:12" x14ac:dyDescent="0.2">
      <c r="A60" s="52"/>
      <c r="B60" s="53"/>
      <c r="C60" s="53"/>
      <c r="D60" s="53"/>
      <c r="E60" s="53"/>
      <c r="F60" s="54"/>
      <c r="G60" s="55"/>
      <c r="H60" s="56"/>
      <c r="I60" s="56"/>
      <c r="J60" s="100"/>
      <c r="K60" s="56"/>
      <c r="L60" s="106"/>
    </row>
    <row r="61" spans="1:12" ht="51.75" customHeight="1" x14ac:dyDescent="0.2">
      <c r="A61" s="134" t="s">
        <v>0</v>
      </c>
      <c r="B61" s="134"/>
      <c r="C61" s="134"/>
      <c r="D61" s="134"/>
      <c r="E61" s="134"/>
      <c r="F61" s="13" t="s">
        <v>1</v>
      </c>
      <c r="G61" s="14" t="s">
        <v>479</v>
      </c>
      <c r="H61" s="15" t="s">
        <v>438</v>
      </c>
      <c r="I61" s="15" t="s">
        <v>439</v>
      </c>
      <c r="J61" s="94" t="s">
        <v>440</v>
      </c>
      <c r="K61" s="15" t="s">
        <v>441</v>
      </c>
      <c r="L61" s="105" t="s">
        <v>442</v>
      </c>
    </row>
    <row r="62" spans="1:12" x14ac:dyDescent="0.2">
      <c r="A62" s="150" t="s">
        <v>14</v>
      </c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2"/>
    </row>
    <row r="63" spans="1:12" x14ac:dyDescent="0.2">
      <c r="A63" s="128" t="s">
        <v>15</v>
      </c>
      <c r="B63" s="129"/>
      <c r="C63" s="129"/>
      <c r="D63" s="129"/>
      <c r="E63" s="130"/>
      <c r="F63" s="24">
        <v>410000</v>
      </c>
      <c r="G63" s="17">
        <f>SUM(H63:L63)</f>
        <v>3582350396</v>
      </c>
      <c r="H63" s="18">
        <f>H64+H70+H93+H83+H85+H97+H88</f>
        <v>538420</v>
      </c>
      <c r="I63" s="18">
        <f>I64+I70+I93+I83+I85+I97+I88</f>
        <v>0</v>
      </c>
      <c r="J63" s="95">
        <f>J64+J70+J93+J83+J85+J97+J88</f>
        <v>3579356976</v>
      </c>
      <c r="K63" s="18">
        <f>K64+K70+K93+K83+K85+K97+K88</f>
        <v>0</v>
      </c>
      <c r="L63" s="95">
        <f>L64+L70+L93+L83+L85+L97+L88</f>
        <v>2455000</v>
      </c>
    </row>
    <row r="64" spans="1:12" x14ac:dyDescent="0.2">
      <c r="A64" s="39">
        <v>1</v>
      </c>
      <c r="B64" s="115" t="s">
        <v>181</v>
      </c>
      <c r="C64" s="116"/>
      <c r="D64" s="116"/>
      <c r="E64" s="117"/>
      <c r="F64" s="24">
        <v>411000</v>
      </c>
      <c r="G64" s="17">
        <f>SUM(H64:L64)</f>
        <v>2986213751</v>
      </c>
      <c r="H64" s="18">
        <f>SUM(H65:H68)</f>
        <v>467582</v>
      </c>
      <c r="I64" s="18">
        <f>SUM(I65:I68)</f>
        <v>0</v>
      </c>
      <c r="J64" s="95">
        <f>SUM(J65:J69)</f>
        <v>2984269834</v>
      </c>
      <c r="K64" s="18">
        <f>SUM(K65:K68)</f>
        <v>0</v>
      </c>
      <c r="L64" s="95">
        <f>SUM(L65:L68)</f>
        <v>1476335</v>
      </c>
    </row>
    <row r="65" spans="1:12" x14ac:dyDescent="0.2">
      <c r="A65" s="39"/>
      <c r="B65" s="57" t="s">
        <v>3</v>
      </c>
      <c r="C65" s="131" t="s">
        <v>182</v>
      </c>
      <c r="D65" s="131"/>
      <c r="E65" s="131"/>
      <c r="F65" s="24">
        <v>411100</v>
      </c>
      <c r="G65" s="21">
        <f t="shared" ref="G65:G92" si="3">SUM(H65:L65)</f>
        <v>2986213751</v>
      </c>
      <c r="H65" s="21">
        <v>467582</v>
      </c>
      <c r="I65" s="23"/>
      <c r="J65" s="92">
        <f>2858927486+31814+125310534</f>
        <v>2984269834</v>
      </c>
      <c r="K65" s="23"/>
      <c r="L65" s="92">
        <v>1476335</v>
      </c>
    </row>
    <row r="66" spans="1:12" x14ac:dyDescent="0.2">
      <c r="A66" s="25"/>
      <c r="B66" s="26" t="s">
        <v>5</v>
      </c>
      <c r="C66" s="131" t="s">
        <v>349</v>
      </c>
      <c r="D66" s="131"/>
      <c r="E66" s="131"/>
      <c r="F66" s="24">
        <v>411100</v>
      </c>
      <c r="G66" s="21">
        <f t="shared" si="3"/>
        <v>0</v>
      </c>
      <c r="H66" s="23"/>
      <c r="I66" s="23"/>
      <c r="J66" s="92"/>
      <c r="K66" s="23"/>
      <c r="L66" s="92"/>
    </row>
    <row r="67" spans="1:12" x14ac:dyDescent="0.2">
      <c r="A67" s="25"/>
      <c r="B67" s="26" t="s">
        <v>16</v>
      </c>
      <c r="C67" s="109" t="s">
        <v>356</v>
      </c>
      <c r="D67" s="110"/>
      <c r="E67" s="111"/>
      <c r="F67" s="24">
        <v>411100</v>
      </c>
      <c r="G67" s="21">
        <f t="shared" si="3"/>
        <v>0</v>
      </c>
      <c r="H67" s="23"/>
      <c r="I67" s="23"/>
      <c r="J67" s="92"/>
      <c r="K67" s="23"/>
      <c r="L67" s="92"/>
    </row>
    <row r="68" spans="1:12" x14ac:dyDescent="0.2">
      <c r="A68" s="25"/>
      <c r="B68" s="26" t="s">
        <v>25</v>
      </c>
      <c r="C68" s="109" t="s">
        <v>360</v>
      </c>
      <c r="D68" s="110"/>
      <c r="E68" s="111"/>
      <c r="F68" s="24">
        <v>411100</v>
      </c>
      <c r="G68" s="21">
        <f t="shared" si="3"/>
        <v>0</v>
      </c>
      <c r="H68" s="23"/>
      <c r="I68" s="23"/>
      <c r="J68" s="92"/>
      <c r="K68" s="23"/>
      <c r="L68" s="92"/>
    </row>
    <row r="69" spans="1:12" x14ac:dyDescent="0.2">
      <c r="A69" s="25"/>
      <c r="B69" s="26" t="s">
        <v>26</v>
      </c>
      <c r="C69" s="109" t="s">
        <v>402</v>
      </c>
      <c r="D69" s="110"/>
      <c r="E69" s="111"/>
      <c r="F69" s="24">
        <v>411100</v>
      </c>
      <c r="G69" s="21">
        <f t="shared" si="3"/>
        <v>0</v>
      </c>
      <c r="H69" s="23"/>
      <c r="I69" s="23"/>
      <c r="J69" s="92"/>
      <c r="K69" s="23"/>
      <c r="L69" s="92"/>
    </row>
    <row r="70" spans="1:12" x14ac:dyDescent="0.2">
      <c r="A70" s="39">
        <v>2</v>
      </c>
      <c r="B70" s="115" t="s">
        <v>17</v>
      </c>
      <c r="C70" s="116"/>
      <c r="D70" s="116"/>
      <c r="E70" s="117"/>
      <c r="F70" s="24">
        <v>412000</v>
      </c>
      <c r="G70" s="17">
        <f t="shared" si="3"/>
        <v>452411382</v>
      </c>
      <c r="H70" s="17">
        <f>SUM(H71+H77)</f>
        <v>70838</v>
      </c>
      <c r="I70" s="17">
        <f>SUM(I71+I77)</f>
        <v>0</v>
      </c>
      <c r="J70" s="97">
        <f>SUM(J71+J77)</f>
        <v>452116879</v>
      </c>
      <c r="K70" s="17">
        <f>SUM(K71+K77)</f>
        <v>0</v>
      </c>
      <c r="L70" s="97">
        <f>SUM(L71+L77)</f>
        <v>223665</v>
      </c>
    </row>
    <row r="71" spans="1:12" x14ac:dyDescent="0.2">
      <c r="A71" s="39"/>
      <c r="B71" s="39" t="s">
        <v>90</v>
      </c>
      <c r="C71" s="115" t="s">
        <v>361</v>
      </c>
      <c r="D71" s="116"/>
      <c r="E71" s="117"/>
      <c r="F71" s="24">
        <v>412100</v>
      </c>
      <c r="G71" s="17">
        <f t="shared" si="3"/>
        <v>298621375</v>
      </c>
      <c r="H71" s="17">
        <f>SUM(H72:H75)</f>
        <v>46758</v>
      </c>
      <c r="I71" s="17">
        <f>SUM(I72:I75)</f>
        <v>0</v>
      </c>
      <c r="J71" s="97">
        <f>SUM(J72:J76)</f>
        <v>298426983</v>
      </c>
      <c r="K71" s="17">
        <f>SUM(K72:K75)</f>
        <v>0</v>
      </c>
      <c r="L71" s="97">
        <f>SUM(L72:L75)</f>
        <v>147634</v>
      </c>
    </row>
    <row r="72" spans="1:12" x14ac:dyDescent="0.2">
      <c r="A72" s="39"/>
      <c r="B72" s="57" t="s">
        <v>93</v>
      </c>
      <c r="C72" s="109" t="s">
        <v>127</v>
      </c>
      <c r="D72" s="110"/>
      <c r="E72" s="111"/>
      <c r="F72" s="24">
        <v>412111</v>
      </c>
      <c r="G72" s="21">
        <f t="shared" si="3"/>
        <v>298621375</v>
      </c>
      <c r="H72" s="21">
        <v>46758</v>
      </c>
      <c r="I72" s="23"/>
      <c r="J72" s="92">
        <f>285892749+3181+12531053</f>
        <v>298426983</v>
      </c>
      <c r="K72" s="18"/>
      <c r="L72" s="92">
        <v>147634</v>
      </c>
    </row>
    <row r="73" spans="1:12" x14ac:dyDescent="0.2">
      <c r="A73" s="39"/>
      <c r="B73" s="57" t="s">
        <v>94</v>
      </c>
      <c r="C73" s="109" t="s">
        <v>343</v>
      </c>
      <c r="D73" s="110"/>
      <c r="E73" s="111"/>
      <c r="F73" s="24">
        <v>412111</v>
      </c>
      <c r="G73" s="21">
        <f t="shared" si="3"/>
        <v>0</v>
      </c>
      <c r="H73" s="21"/>
      <c r="I73" s="23"/>
      <c r="J73" s="92"/>
      <c r="K73" s="18"/>
      <c r="L73" s="92"/>
    </row>
    <row r="74" spans="1:12" x14ac:dyDescent="0.2">
      <c r="A74" s="39"/>
      <c r="B74" s="57" t="s">
        <v>95</v>
      </c>
      <c r="C74" s="109" t="s">
        <v>403</v>
      </c>
      <c r="D74" s="110"/>
      <c r="E74" s="111"/>
      <c r="F74" s="24">
        <v>412111</v>
      </c>
      <c r="G74" s="21">
        <f t="shared" si="3"/>
        <v>0</v>
      </c>
      <c r="H74" s="21"/>
      <c r="I74" s="23"/>
      <c r="J74" s="92"/>
      <c r="K74" s="18"/>
      <c r="L74" s="92"/>
    </row>
    <row r="75" spans="1:12" x14ac:dyDescent="0.2">
      <c r="A75" s="39"/>
      <c r="B75" s="57" t="s">
        <v>227</v>
      </c>
      <c r="C75" s="109" t="s">
        <v>405</v>
      </c>
      <c r="D75" s="110"/>
      <c r="E75" s="111"/>
      <c r="F75" s="24">
        <v>412111</v>
      </c>
      <c r="G75" s="21">
        <f t="shared" si="3"/>
        <v>0</v>
      </c>
      <c r="H75" s="21"/>
      <c r="I75" s="23"/>
      <c r="J75" s="92"/>
      <c r="K75" s="18"/>
      <c r="L75" s="92"/>
    </row>
    <row r="76" spans="1:12" x14ac:dyDescent="0.2">
      <c r="A76" s="39"/>
      <c r="B76" s="57" t="s">
        <v>381</v>
      </c>
      <c r="C76" s="109" t="s">
        <v>406</v>
      </c>
      <c r="D76" s="110"/>
      <c r="E76" s="111"/>
      <c r="F76" s="24">
        <v>412111</v>
      </c>
      <c r="G76" s="21">
        <f t="shared" si="3"/>
        <v>0</v>
      </c>
      <c r="H76" s="21"/>
      <c r="I76" s="23"/>
      <c r="J76" s="92"/>
      <c r="K76" s="18"/>
      <c r="L76" s="92"/>
    </row>
    <row r="77" spans="1:12" x14ac:dyDescent="0.2">
      <c r="A77" s="39"/>
      <c r="B77" s="25" t="s">
        <v>77</v>
      </c>
      <c r="C77" s="115" t="s">
        <v>362</v>
      </c>
      <c r="D77" s="116"/>
      <c r="E77" s="117"/>
      <c r="F77" s="24">
        <v>412200</v>
      </c>
      <c r="G77" s="17">
        <f t="shared" si="3"/>
        <v>153790007</v>
      </c>
      <c r="H77" s="18">
        <f>SUM(H78:H81)</f>
        <v>24080</v>
      </c>
      <c r="I77" s="18">
        <f>SUM(I78:I81)</f>
        <v>0</v>
      </c>
      <c r="J77" s="95">
        <f>SUM(J78:J82)</f>
        <v>153689896</v>
      </c>
      <c r="K77" s="18">
        <f>SUM(K78:K81)</f>
        <v>0</v>
      </c>
      <c r="L77" s="95">
        <f>SUM(L78:L81)</f>
        <v>76031</v>
      </c>
    </row>
    <row r="78" spans="1:12" x14ac:dyDescent="0.2">
      <c r="A78" s="39"/>
      <c r="B78" s="57" t="s">
        <v>229</v>
      </c>
      <c r="C78" s="109" t="s">
        <v>128</v>
      </c>
      <c r="D78" s="110"/>
      <c r="E78" s="111"/>
      <c r="F78" s="24">
        <v>412211</v>
      </c>
      <c r="G78" s="21">
        <f t="shared" si="3"/>
        <v>153790007</v>
      </c>
      <c r="H78" s="21">
        <v>24080</v>
      </c>
      <c r="I78" s="23"/>
      <c r="J78" s="92">
        <f>147234765+1638+6453493</f>
        <v>153689896</v>
      </c>
      <c r="K78" s="18"/>
      <c r="L78" s="92">
        <v>76031</v>
      </c>
    </row>
    <row r="79" spans="1:12" x14ac:dyDescent="0.2">
      <c r="A79" s="39"/>
      <c r="B79" s="26" t="s">
        <v>363</v>
      </c>
      <c r="C79" s="109" t="s">
        <v>344</v>
      </c>
      <c r="D79" s="110"/>
      <c r="E79" s="111"/>
      <c r="F79" s="24">
        <v>412211</v>
      </c>
      <c r="G79" s="21">
        <f t="shared" si="3"/>
        <v>0</v>
      </c>
      <c r="H79" s="21"/>
      <c r="I79" s="23"/>
      <c r="J79" s="92"/>
      <c r="K79" s="18"/>
      <c r="L79" s="92"/>
    </row>
    <row r="80" spans="1:12" x14ac:dyDescent="0.2">
      <c r="A80" s="39"/>
      <c r="B80" s="26" t="s">
        <v>364</v>
      </c>
      <c r="C80" s="109" t="s">
        <v>357</v>
      </c>
      <c r="D80" s="110"/>
      <c r="E80" s="111"/>
      <c r="F80" s="24">
        <v>412211</v>
      </c>
      <c r="G80" s="21">
        <f t="shared" si="3"/>
        <v>0</v>
      </c>
      <c r="H80" s="21"/>
      <c r="I80" s="23"/>
      <c r="J80" s="92"/>
      <c r="K80" s="18"/>
      <c r="L80" s="92"/>
    </row>
    <row r="81" spans="1:12" x14ac:dyDescent="0.2">
      <c r="A81" s="39"/>
      <c r="B81" s="26" t="s">
        <v>365</v>
      </c>
      <c r="C81" s="109" t="s">
        <v>404</v>
      </c>
      <c r="D81" s="110"/>
      <c r="E81" s="111"/>
      <c r="F81" s="24">
        <v>412211</v>
      </c>
      <c r="G81" s="21">
        <f t="shared" si="3"/>
        <v>0</v>
      </c>
      <c r="H81" s="21"/>
      <c r="I81" s="23"/>
      <c r="J81" s="92"/>
      <c r="K81" s="18"/>
      <c r="L81" s="92"/>
    </row>
    <row r="82" spans="1:12" x14ac:dyDescent="0.2">
      <c r="A82" s="39"/>
      <c r="B82" s="26" t="s">
        <v>382</v>
      </c>
      <c r="C82" s="109" t="s">
        <v>407</v>
      </c>
      <c r="D82" s="110"/>
      <c r="E82" s="111"/>
      <c r="F82" s="24">
        <v>412211</v>
      </c>
      <c r="G82" s="21">
        <f t="shared" si="3"/>
        <v>0</v>
      </c>
      <c r="H82" s="21"/>
      <c r="I82" s="23"/>
      <c r="J82" s="92"/>
      <c r="K82" s="18"/>
      <c r="L82" s="92"/>
    </row>
    <row r="83" spans="1:12" x14ac:dyDescent="0.2">
      <c r="A83" s="25">
        <v>3</v>
      </c>
      <c r="B83" s="115" t="s">
        <v>351</v>
      </c>
      <c r="C83" s="116"/>
      <c r="D83" s="116"/>
      <c r="E83" s="117"/>
      <c r="F83" s="24">
        <v>414000</v>
      </c>
      <c r="G83" s="17">
        <f t="shared" si="3"/>
        <v>0</v>
      </c>
      <c r="H83" s="18">
        <f>SUM(H84:H84)</f>
        <v>0</v>
      </c>
      <c r="I83" s="18">
        <f>SUM(I84:I84)</f>
        <v>0</v>
      </c>
      <c r="J83" s="95">
        <f>SUM(J84:J84)</f>
        <v>0</v>
      </c>
      <c r="K83" s="18">
        <f>SUM(K84:K84)</f>
        <v>0</v>
      </c>
      <c r="L83" s="95">
        <f>SUM(L84:L84)</f>
        <v>0</v>
      </c>
    </row>
    <row r="84" spans="1:12" x14ac:dyDescent="0.2">
      <c r="A84" s="25"/>
      <c r="B84" s="26" t="s">
        <v>69</v>
      </c>
      <c r="C84" s="131" t="s">
        <v>156</v>
      </c>
      <c r="D84" s="131"/>
      <c r="E84" s="131"/>
      <c r="F84" s="24">
        <v>414121</v>
      </c>
      <c r="G84" s="21">
        <f t="shared" si="3"/>
        <v>0</v>
      </c>
      <c r="H84" s="23"/>
      <c r="I84" s="23"/>
      <c r="J84" s="92"/>
      <c r="K84" s="23"/>
      <c r="L84" s="92"/>
    </row>
    <row r="85" spans="1:12" x14ac:dyDescent="0.2">
      <c r="A85" s="58" t="s">
        <v>306</v>
      </c>
      <c r="B85" s="157" t="s">
        <v>237</v>
      </c>
      <c r="C85" s="158"/>
      <c r="D85" s="158"/>
      <c r="E85" s="159"/>
      <c r="F85" s="59">
        <v>414300</v>
      </c>
      <c r="G85" s="17">
        <f t="shared" si="3"/>
        <v>25215351</v>
      </c>
      <c r="H85" s="18">
        <f>SUM(H86:H87)</f>
        <v>0</v>
      </c>
      <c r="I85" s="18">
        <f>SUM(I86:I87)</f>
        <v>0</v>
      </c>
      <c r="J85" s="95">
        <f>SUM(J86:J87)</f>
        <v>25185351</v>
      </c>
      <c r="K85" s="18">
        <f>SUM(K86:K87)</f>
        <v>0</v>
      </c>
      <c r="L85" s="95">
        <f>SUM(L86:L87)</f>
        <v>30000</v>
      </c>
    </row>
    <row r="86" spans="1:12" x14ac:dyDescent="0.2">
      <c r="A86" s="57"/>
      <c r="B86" s="26" t="s">
        <v>12</v>
      </c>
      <c r="C86" s="109" t="s">
        <v>126</v>
      </c>
      <c r="D86" s="110"/>
      <c r="E86" s="111"/>
      <c r="F86" s="24">
        <v>414311</v>
      </c>
      <c r="G86" s="21">
        <f t="shared" si="3"/>
        <v>24729665</v>
      </c>
      <c r="H86" s="23"/>
      <c r="I86" s="23"/>
      <c r="J86" s="92">
        <f>20000000+4699665</f>
        <v>24699665</v>
      </c>
      <c r="K86" s="23"/>
      <c r="L86" s="92">
        <v>30000</v>
      </c>
    </row>
    <row r="87" spans="1:12" x14ac:dyDescent="0.2">
      <c r="A87" s="57"/>
      <c r="B87" s="26" t="s">
        <v>13</v>
      </c>
      <c r="C87" s="109" t="s">
        <v>226</v>
      </c>
      <c r="D87" s="110"/>
      <c r="E87" s="111"/>
      <c r="F87" s="60">
        <v>414314</v>
      </c>
      <c r="G87" s="21">
        <f t="shared" si="3"/>
        <v>485686</v>
      </c>
      <c r="H87" s="21"/>
      <c r="I87" s="23"/>
      <c r="J87" s="92">
        <f>400000+85686</f>
        <v>485686</v>
      </c>
      <c r="K87" s="23">
        <v>0</v>
      </c>
      <c r="L87" s="92"/>
    </row>
    <row r="88" spans="1:12" x14ac:dyDescent="0.2">
      <c r="A88" s="25">
        <v>5</v>
      </c>
      <c r="B88" s="115" t="s">
        <v>352</v>
      </c>
      <c r="C88" s="116"/>
      <c r="D88" s="116"/>
      <c r="E88" s="117"/>
      <c r="F88" s="24">
        <v>414400</v>
      </c>
      <c r="G88" s="17">
        <f t="shared" si="3"/>
        <v>8264020</v>
      </c>
      <c r="H88" s="18">
        <f>SUM(H89:H91)</f>
        <v>0</v>
      </c>
      <c r="I88" s="18">
        <f>SUM(I89:I91)</f>
        <v>0</v>
      </c>
      <c r="J88" s="95">
        <f>SUM(J89:J92)</f>
        <v>8264020</v>
      </c>
      <c r="K88" s="18">
        <f>SUM(K89:K91)</f>
        <v>0</v>
      </c>
      <c r="L88" s="95">
        <f>SUM(L89:L92)</f>
        <v>0</v>
      </c>
    </row>
    <row r="89" spans="1:12" x14ac:dyDescent="0.2">
      <c r="A89" s="25"/>
      <c r="B89" s="26" t="s">
        <v>40</v>
      </c>
      <c r="C89" s="131" t="s">
        <v>467</v>
      </c>
      <c r="D89" s="131"/>
      <c r="E89" s="131"/>
      <c r="F89" s="30">
        <v>414411</v>
      </c>
      <c r="G89" s="21">
        <f t="shared" si="3"/>
        <v>4300000</v>
      </c>
      <c r="H89" s="21"/>
      <c r="I89" s="23"/>
      <c r="J89" s="92">
        <v>4300000</v>
      </c>
      <c r="K89" s="23"/>
      <c r="L89" s="92"/>
    </row>
    <row r="90" spans="1:12" x14ac:dyDescent="0.2">
      <c r="A90" s="25"/>
      <c r="B90" s="26" t="s">
        <v>41</v>
      </c>
      <c r="C90" s="131" t="s">
        <v>446</v>
      </c>
      <c r="D90" s="131"/>
      <c r="E90" s="131"/>
      <c r="F90" s="30">
        <v>414411</v>
      </c>
      <c r="G90" s="21">
        <f>H90+I90+J90+K90+L90</f>
        <v>0</v>
      </c>
      <c r="H90" s="21"/>
      <c r="I90" s="23"/>
      <c r="J90" s="92"/>
      <c r="K90" s="23"/>
      <c r="L90" s="92"/>
    </row>
    <row r="91" spans="1:12" x14ac:dyDescent="0.2">
      <c r="A91" s="25"/>
      <c r="B91" s="26" t="s">
        <v>435</v>
      </c>
      <c r="C91" s="131" t="s">
        <v>367</v>
      </c>
      <c r="D91" s="131"/>
      <c r="E91" s="131"/>
      <c r="F91" s="30">
        <v>414419</v>
      </c>
      <c r="G91" s="21">
        <f t="shared" si="3"/>
        <v>0</v>
      </c>
      <c r="H91" s="21"/>
      <c r="I91" s="23"/>
      <c r="J91" s="92"/>
      <c r="K91" s="23"/>
      <c r="L91" s="92"/>
    </row>
    <row r="92" spans="1:12" x14ac:dyDescent="0.2">
      <c r="A92" s="25"/>
      <c r="B92" s="61" t="s">
        <v>445</v>
      </c>
      <c r="C92" s="41" t="s">
        <v>468</v>
      </c>
      <c r="D92" s="41"/>
      <c r="E92" s="41"/>
      <c r="F92" s="30">
        <v>414419</v>
      </c>
      <c r="G92" s="21">
        <f t="shared" si="3"/>
        <v>3964020</v>
      </c>
      <c r="H92" s="21"/>
      <c r="I92" s="23"/>
      <c r="J92" s="92">
        <f>3300000+664020</f>
        <v>3964020</v>
      </c>
      <c r="K92" s="23"/>
      <c r="L92" s="92"/>
    </row>
    <row r="93" spans="1:12" s="42" customFormat="1" x14ac:dyDescent="0.2">
      <c r="A93" s="25">
        <v>6</v>
      </c>
      <c r="B93" s="115" t="s">
        <v>134</v>
      </c>
      <c r="C93" s="116"/>
      <c r="D93" s="116"/>
      <c r="E93" s="117"/>
      <c r="F93" s="24">
        <v>415100</v>
      </c>
      <c r="G93" s="17">
        <f t="shared" ref="G93:G102" si="4">SUM(H93:L93)</f>
        <v>73333000</v>
      </c>
      <c r="H93" s="17">
        <f>SUM(H94:H96)</f>
        <v>0</v>
      </c>
      <c r="I93" s="17">
        <f>SUM(I94:I96)</f>
        <v>0</v>
      </c>
      <c r="J93" s="97">
        <f>SUM(J94:J96)</f>
        <v>73308000</v>
      </c>
      <c r="K93" s="17">
        <f>SUM(K94:K96)</f>
        <v>0</v>
      </c>
      <c r="L93" s="97">
        <f>SUM(L94:L96)</f>
        <v>25000</v>
      </c>
    </row>
    <row r="94" spans="1:12" s="42" customFormat="1" x14ac:dyDescent="0.2">
      <c r="A94" s="25"/>
      <c r="B94" s="57" t="s">
        <v>43</v>
      </c>
      <c r="C94" s="109" t="s">
        <v>129</v>
      </c>
      <c r="D94" s="110"/>
      <c r="E94" s="111"/>
      <c r="F94" s="24">
        <v>415111</v>
      </c>
      <c r="G94" s="21">
        <f t="shared" si="4"/>
        <v>0</v>
      </c>
      <c r="H94" s="21"/>
      <c r="I94" s="23"/>
      <c r="J94" s="92"/>
      <c r="K94" s="23"/>
      <c r="L94" s="92"/>
    </row>
    <row r="95" spans="1:12" s="42" customFormat="1" x14ac:dyDescent="0.2">
      <c r="A95" s="25"/>
      <c r="B95" s="26" t="s">
        <v>45</v>
      </c>
      <c r="C95" s="109" t="s">
        <v>130</v>
      </c>
      <c r="D95" s="110"/>
      <c r="E95" s="111"/>
      <c r="F95" s="24">
        <v>415112</v>
      </c>
      <c r="G95" s="21">
        <f t="shared" si="4"/>
        <v>73333000</v>
      </c>
      <c r="H95" s="21"/>
      <c r="I95" s="23"/>
      <c r="J95" s="92">
        <v>73308000</v>
      </c>
      <c r="K95" s="23"/>
      <c r="L95" s="92">
        <v>25000</v>
      </c>
    </row>
    <row r="96" spans="1:12" s="42" customFormat="1" x14ac:dyDescent="0.2">
      <c r="A96" s="25"/>
      <c r="B96" s="26" t="s">
        <v>307</v>
      </c>
      <c r="C96" s="109" t="s">
        <v>408</v>
      </c>
      <c r="D96" s="110"/>
      <c r="E96" s="111"/>
      <c r="F96" s="24">
        <v>415112</v>
      </c>
      <c r="G96" s="21">
        <f t="shared" si="4"/>
        <v>0</v>
      </c>
      <c r="H96" s="21"/>
      <c r="I96" s="23"/>
      <c r="J96" s="92"/>
      <c r="K96" s="23"/>
      <c r="L96" s="92"/>
    </row>
    <row r="97" spans="1:14" x14ac:dyDescent="0.2">
      <c r="A97" s="25">
        <v>7</v>
      </c>
      <c r="B97" s="174" t="s">
        <v>131</v>
      </c>
      <c r="C97" s="175"/>
      <c r="D97" s="175"/>
      <c r="E97" s="176"/>
      <c r="F97" s="24">
        <v>416100</v>
      </c>
      <c r="G97" s="17">
        <f t="shared" si="4"/>
        <v>36912892</v>
      </c>
      <c r="H97" s="18">
        <f>SUM(H98:H99)</f>
        <v>0</v>
      </c>
      <c r="I97" s="18">
        <f>SUM(I98:I99)</f>
        <v>0</v>
      </c>
      <c r="J97" s="95">
        <f>SUM(J98:J99)</f>
        <v>36212892</v>
      </c>
      <c r="K97" s="18">
        <f>SUM(K98:K99)</f>
        <v>0</v>
      </c>
      <c r="L97" s="95">
        <f>L100</f>
        <v>700000</v>
      </c>
    </row>
    <row r="98" spans="1:14" x14ac:dyDescent="0.2">
      <c r="A98" s="62"/>
      <c r="B98" s="26" t="s">
        <v>81</v>
      </c>
      <c r="C98" s="135" t="s">
        <v>132</v>
      </c>
      <c r="D98" s="136"/>
      <c r="E98" s="137"/>
      <c r="F98" s="24">
        <v>416111</v>
      </c>
      <c r="G98" s="21">
        <f t="shared" si="4"/>
        <v>36212892</v>
      </c>
      <c r="H98" s="23"/>
      <c r="I98" s="18"/>
      <c r="J98" s="92">
        <f>34500000+1712892</f>
        <v>36212892</v>
      </c>
      <c r="K98" s="18"/>
      <c r="L98" s="92"/>
    </row>
    <row r="99" spans="1:14" x14ac:dyDescent="0.2">
      <c r="A99" s="62"/>
      <c r="B99" s="26" t="s">
        <v>141</v>
      </c>
      <c r="C99" s="135" t="s">
        <v>133</v>
      </c>
      <c r="D99" s="136"/>
      <c r="E99" s="137"/>
      <c r="F99" s="24">
        <v>416100</v>
      </c>
      <c r="G99" s="21">
        <f t="shared" si="4"/>
        <v>0</v>
      </c>
      <c r="H99" s="18"/>
      <c r="I99" s="18"/>
      <c r="J99" s="95"/>
      <c r="K99" s="18"/>
      <c r="L99" s="92"/>
    </row>
    <row r="100" spans="1:14" x14ac:dyDescent="0.2">
      <c r="A100" s="25"/>
      <c r="B100" s="26" t="s">
        <v>142</v>
      </c>
      <c r="C100" s="135" t="s">
        <v>461</v>
      </c>
      <c r="D100" s="136"/>
      <c r="E100" s="137"/>
      <c r="F100" s="24">
        <v>416131</v>
      </c>
      <c r="G100" s="21">
        <f>SUM(H100:L100)</f>
        <v>700000</v>
      </c>
      <c r="H100" s="18"/>
      <c r="I100" s="18"/>
      <c r="J100" s="95"/>
      <c r="K100" s="18"/>
      <c r="L100" s="92">
        <v>700000</v>
      </c>
    </row>
    <row r="101" spans="1:14" x14ac:dyDescent="0.2">
      <c r="A101" s="177" t="s">
        <v>18</v>
      </c>
      <c r="B101" s="178"/>
      <c r="C101" s="178"/>
      <c r="D101" s="178"/>
      <c r="E101" s="179"/>
      <c r="F101" s="24">
        <v>420000</v>
      </c>
      <c r="G101" s="17">
        <f t="shared" si="4"/>
        <v>1105997062</v>
      </c>
      <c r="H101" s="17">
        <f>H102+H140+H152+H174+H183+H207</f>
        <v>1150000</v>
      </c>
      <c r="I101" s="17">
        <f>I102+I140+I152+I174+I183+I207</f>
        <v>0</v>
      </c>
      <c r="J101" s="97">
        <f>J102+J140+J152+J174+J183+J207</f>
        <v>1011212777</v>
      </c>
      <c r="K101" s="17">
        <f>K102+K140+K152+K174+K183+K207</f>
        <v>0</v>
      </c>
      <c r="L101" s="97">
        <f>L102+L140+L152+L174+L183+L207</f>
        <v>93634285</v>
      </c>
    </row>
    <row r="102" spans="1:14" x14ac:dyDescent="0.2">
      <c r="A102" s="25">
        <v>1</v>
      </c>
      <c r="B102" s="115" t="s">
        <v>19</v>
      </c>
      <c r="C102" s="116"/>
      <c r="D102" s="116"/>
      <c r="E102" s="117"/>
      <c r="F102" s="24">
        <v>421000</v>
      </c>
      <c r="G102" s="17">
        <f t="shared" si="4"/>
        <v>168528471</v>
      </c>
      <c r="H102" s="18">
        <f>H103+H104+H113+H121+H128+H135+H137</f>
        <v>0</v>
      </c>
      <c r="I102" s="18">
        <f>I103+I104+I113+I121+I128+I135+I137</f>
        <v>0</v>
      </c>
      <c r="J102" s="95">
        <f>J103+J104+J113+J121+J128+J135+J137</f>
        <v>162752471</v>
      </c>
      <c r="K102" s="18">
        <f>K103+K104+K113+K121+K128+K135+K137</f>
        <v>0</v>
      </c>
      <c r="L102" s="95">
        <f>L103+L104+L113+L121+L128+L135+L137</f>
        <v>5776000</v>
      </c>
    </row>
    <row r="103" spans="1:14" x14ac:dyDescent="0.2">
      <c r="A103" s="57"/>
      <c r="B103" s="26" t="s">
        <v>3</v>
      </c>
      <c r="C103" s="131" t="s">
        <v>157</v>
      </c>
      <c r="D103" s="131"/>
      <c r="E103" s="131"/>
      <c r="F103" s="60">
        <v>421100</v>
      </c>
      <c r="G103" s="21">
        <f t="shared" ref="G103:G139" si="5">SUM(H103:L103)</f>
        <v>2700000</v>
      </c>
      <c r="H103" s="21"/>
      <c r="I103" s="23"/>
      <c r="J103" s="92">
        <v>2600000</v>
      </c>
      <c r="K103" s="23"/>
      <c r="L103" s="92">
        <v>100000</v>
      </c>
      <c r="N103" s="63"/>
    </row>
    <row r="104" spans="1:14" x14ac:dyDescent="0.2">
      <c r="A104" s="64"/>
      <c r="B104" s="25" t="s">
        <v>5</v>
      </c>
      <c r="C104" s="126" t="s">
        <v>158</v>
      </c>
      <c r="D104" s="126"/>
      <c r="E104" s="126"/>
      <c r="F104" s="24">
        <v>421200</v>
      </c>
      <c r="G104" s="17">
        <f t="shared" si="5"/>
        <v>123982471</v>
      </c>
      <c r="H104" s="18">
        <f>SUM(H105:H112)</f>
        <v>0</v>
      </c>
      <c r="I104" s="18">
        <f>SUM(I105:I112)</f>
        <v>0</v>
      </c>
      <c r="J104" s="95">
        <f>SUM(J105:J112)</f>
        <v>122732471</v>
      </c>
      <c r="K104" s="18">
        <f>SUM(K105:K112)</f>
        <v>0</v>
      </c>
      <c r="L104" s="95">
        <f>SUM(L105:L112)</f>
        <v>1250000</v>
      </c>
    </row>
    <row r="105" spans="1:14" x14ac:dyDescent="0.2">
      <c r="A105" s="25"/>
      <c r="B105" s="57"/>
      <c r="C105" s="40" t="s">
        <v>6</v>
      </c>
      <c r="D105" s="131" t="s">
        <v>409</v>
      </c>
      <c r="E105" s="131"/>
      <c r="F105" s="24">
        <v>421211</v>
      </c>
      <c r="G105" s="21">
        <f t="shared" si="5"/>
        <v>71000000</v>
      </c>
      <c r="H105" s="21"/>
      <c r="I105" s="23"/>
      <c r="J105" s="92">
        <v>70000000</v>
      </c>
      <c r="K105" s="23"/>
      <c r="L105" s="92">
        <v>1000000</v>
      </c>
    </row>
    <row r="106" spans="1:14" x14ac:dyDescent="0.2">
      <c r="A106" s="25"/>
      <c r="B106" s="57"/>
      <c r="C106" s="40" t="s">
        <v>7</v>
      </c>
      <c r="D106" s="131" t="s">
        <v>410</v>
      </c>
      <c r="E106" s="131"/>
      <c r="F106" s="24">
        <v>426411</v>
      </c>
      <c r="G106" s="21">
        <f t="shared" si="5"/>
        <v>10000000</v>
      </c>
      <c r="H106" s="21"/>
      <c r="I106" s="23"/>
      <c r="J106" s="92">
        <v>10000000</v>
      </c>
      <c r="K106" s="23"/>
      <c r="L106" s="92"/>
    </row>
    <row r="107" spans="1:14" x14ac:dyDescent="0.2">
      <c r="A107" s="25"/>
      <c r="B107" s="57"/>
      <c r="C107" s="43" t="s">
        <v>8</v>
      </c>
      <c r="D107" s="131" t="s">
        <v>411</v>
      </c>
      <c r="E107" s="131"/>
      <c r="F107" s="24">
        <v>421222</v>
      </c>
      <c r="G107" s="21">
        <f t="shared" si="5"/>
        <v>0</v>
      </c>
      <c r="H107" s="21"/>
      <c r="I107" s="23"/>
      <c r="J107" s="92"/>
      <c r="K107" s="23"/>
      <c r="L107" s="92"/>
    </row>
    <row r="108" spans="1:14" x14ac:dyDescent="0.2">
      <c r="A108" s="25"/>
      <c r="B108" s="57"/>
      <c r="C108" s="40" t="s">
        <v>9</v>
      </c>
      <c r="D108" s="131" t="s">
        <v>412</v>
      </c>
      <c r="E108" s="131"/>
      <c r="F108" s="24">
        <v>421223</v>
      </c>
      <c r="G108" s="21">
        <f t="shared" si="5"/>
        <v>0</v>
      </c>
      <c r="H108" s="21"/>
      <c r="I108" s="23"/>
      <c r="J108" s="92"/>
      <c r="K108" s="23"/>
      <c r="L108" s="92"/>
    </row>
    <row r="109" spans="1:14" x14ac:dyDescent="0.2">
      <c r="A109" s="25"/>
      <c r="B109" s="57"/>
      <c r="C109" s="40" t="s">
        <v>20</v>
      </c>
      <c r="D109" s="109" t="s">
        <v>413</v>
      </c>
      <c r="E109" s="111"/>
      <c r="F109" s="24">
        <v>4212231</v>
      </c>
      <c r="G109" s="21">
        <f t="shared" si="5"/>
        <v>1000000</v>
      </c>
      <c r="H109" s="21"/>
      <c r="I109" s="23"/>
      <c r="J109" s="92">
        <v>1000000</v>
      </c>
      <c r="K109" s="23"/>
      <c r="L109" s="92"/>
    </row>
    <row r="110" spans="1:14" x14ac:dyDescent="0.2">
      <c r="A110" s="25"/>
      <c r="B110" s="57"/>
      <c r="C110" s="40" t="s">
        <v>21</v>
      </c>
      <c r="D110" s="131" t="s">
        <v>414</v>
      </c>
      <c r="E110" s="131"/>
      <c r="F110" s="24">
        <v>421224</v>
      </c>
      <c r="G110" s="21">
        <f t="shared" si="5"/>
        <v>850000</v>
      </c>
      <c r="H110" s="21"/>
      <c r="I110" s="23"/>
      <c r="J110" s="92">
        <v>850000</v>
      </c>
      <c r="K110" s="23"/>
      <c r="L110" s="92"/>
    </row>
    <row r="111" spans="1:14" x14ac:dyDescent="0.2">
      <c r="A111" s="25"/>
      <c r="B111" s="57"/>
      <c r="C111" s="40" t="s">
        <v>287</v>
      </c>
      <c r="D111" s="131" t="s">
        <v>453</v>
      </c>
      <c r="E111" s="131"/>
      <c r="F111" s="24">
        <v>421221</v>
      </c>
      <c r="G111" s="21">
        <f t="shared" si="5"/>
        <v>41132471</v>
      </c>
      <c r="H111" s="21"/>
      <c r="I111" s="23"/>
      <c r="J111" s="92">
        <f>29732471+10000000+300000+850000</f>
        <v>40882471</v>
      </c>
      <c r="K111" s="23"/>
      <c r="L111" s="92">
        <v>250000</v>
      </c>
    </row>
    <row r="112" spans="1:14" x14ac:dyDescent="0.2">
      <c r="A112" s="25"/>
      <c r="B112" s="57"/>
      <c r="C112" s="40" t="s">
        <v>288</v>
      </c>
      <c r="D112" s="131" t="s">
        <v>415</v>
      </c>
      <c r="E112" s="131"/>
      <c r="F112" s="24">
        <v>421225</v>
      </c>
      <c r="G112" s="21">
        <f t="shared" si="5"/>
        <v>0</v>
      </c>
      <c r="H112" s="23"/>
      <c r="I112" s="23"/>
      <c r="J112" s="92"/>
      <c r="K112" s="23"/>
      <c r="L112" s="92"/>
    </row>
    <row r="113" spans="1:12" x14ac:dyDescent="0.2">
      <c r="A113" s="25"/>
      <c r="B113" s="25" t="s">
        <v>16</v>
      </c>
      <c r="C113" s="126" t="s">
        <v>159</v>
      </c>
      <c r="D113" s="126"/>
      <c r="E113" s="126"/>
      <c r="F113" s="24">
        <v>421300</v>
      </c>
      <c r="G113" s="17">
        <f t="shared" si="5"/>
        <v>24800000</v>
      </c>
      <c r="H113" s="18">
        <f>SUM(H114:H115)+H119+H120</f>
        <v>0</v>
      </c>
      <c r="I113" s="18">
        <f>SUM(I114:I115)+I119+I120</f>
        <v>0</v>
      </c>
      <c r="J113" s="95">
        <f>SUM(J114:J115)+J119+J120</f>
        <v>24150000</v>
      </c>
      <c r="K113" s="18">
        <f>SUM(K114:K115)+K119+K120</f>
        <v>0</v>
      </c>
      <c r="L113" s="95">
        <f>SUM(L114:L115)+L119+L120</f>
        <v>650000</v>
      </c>
    </row>
    <row r="114" spans="1:12" x14ac:dyDescent="0.2">
      <c r="A114" s="25"/>
      <c r="B114" s="57"/>
      <c r="C114" s="40" t="s">
        <v>22</v>
      </c>
      <c r="D114" s="131" t="s">
        <v>160</v>
      </c>
      <c r="E114" s="131"/>
      <c r="F114" s="24">
        <v>421311</v>
      </c>
      <c r="G114" s="21">
        <f t="shared" si="5"/>
        <v>15000000</v>
      </c>
      <c r="H114" s="21"/>
      <c r="I114" s="23"/>
      <c r="J114" s="92">
        <v>14500000</v>
      </c>
      <c r="K114" s="23"/>
      <c r="L114" s="92">
        <v>500000</v>
      </c>
    </row>
    <row r="115" spans="1:12" x14ac:dyDescent="0.2">
      <c r="A115" s="25"/>
      <c r="B115" s="57"/>
      <c r="C115" s="40" t="s">
        <v>23</v>
      </c>
      <c r="D115" s="131" t="s">
        <v>161</v>
      </c>
      <c r="E115" s="131"/>
      <c r="F115" s="24">
        <v>421320</v>
      </c>
      <c r="G115" s="21">
        <f t="shared" si="5"/>
        <v>9650000</v>
      </c>
      <c r="H115" s="21">
        <f>SUM(H116:H118)</f>
        <v>0</v>
      </c>
      <c r="I115" s="21">
        <f>SUM(I116:I118)</f>
        <v>0</v>
      </c>
      <c r="J115" s="101">
        <f>SUM(J116:J118)</f>
        <v>9650000</v>
      </c>
      <c r="K115" s="21">
        <f>SUM(K116:K118)</f>
        <v>0</v>
      </c>
      <c r="L115" s="101"/>
    </row>
    <row r="116" spans="1:12" x14ac:dyDescent="0.2">
      <c r="A116" s="25"/>
      <c r="B116" s="57"/>
      <c r="C116" s="40"/>
      <c r="D116" s="40" t="s">
        <v>278</v>
      </c>
      <c r="E116" s="41" t="s">
        <v>279</v>
      </c>
      <c r="F116" s="24">
        <v>421321</v>
      </c>
      <c r="G116" s="21">
        <f t="shared" si="5"/>
        <v>150000</v>
      </c>
      <c r="H116" s="21"/>
      <c r="I116" s="23"/>
      <c r="J116" s="92">
        <v>150000</v>
      </c>
      <c r="K116" s="23"/>
      <c r="L116" s="92"/>
    </row>
    <row r="117" spans="1:12" x14ac:dyDescent="0.2">
      <c r="A117" s="25"/>
      <c r="B117" s="57"/>
      <c r="C117" s="40"/>
      <c r="D117" s="40" t="s">
        <v>280</v>
      </c>
      <c r="E117" s="41" t="s">
        <v>281</v>
      </c>
      <c r="F117" s="24">
        <v>421322</v>
      </c>
      <c r="G117" s="21">
        <f t="shared" si="5"/>
        <v>0</v>
      </c>
      <c r="H117" s="21"/>
      <c r="I117" s="23"/>
      <c r="J117" s="92"/>
      <c r="K117" s="23"/>
      <c r="L117" s="92"/>
    </row>
    <row r="118" spans="1:12" x14ac:dyDescent="0.2">
      <c r="A118" s="25"/>
      <c r="B118" s="57"/>
      <c r="C118" s="40"/>
      <c r="D118" s="40" t="s">
        <v>282</v>
      </c>
      <c r="E118" s="41" t="s">
        <v>283</v>
      </c>
      <c r="F118" s="24">
        <v>421324</v>
      </c>
      <c r="G118" s="21">
        <f t="shared" si="5"/>
        <v>10000000</v>
      </c>
      <c r="H118" s="21"/>
      <c r="I118" s="23"/>
      <c r="J118" s="92">
        <v>9500000</v>
      </c>
      <c r="K118" s="23"/>
      <c r="L118" s="92">
        <v>500000</v>
      </c>
    </row>
    <row r="119" spans="1:12" x14ac:dyDescent="0.2">
      <c r="A119" s="25"/>
      <c r="B119" s="57"/>
      <c r="C119" s="40" t="s">
        <v>24</v>
      </c>
      <c r="D119" s="131" t="s">
        <v>416</v>
      </c>
      <c r="E119" s="131"/>
      <c r="F119" s="24">
        <v>421325</v>
      </c>
      <c r="G119" s="21">
        <f t="shared" si="5"/>
        <v>0</v>
      </c>
      <c r="H119" s="23"/>
      <c r="I119" s="23"/>
      <c r="J119" s="92"/>
      <c r="K119" s="23"/>
      <c r="L119" s="92"/>
    </row>
    <row r="120" spans="1:12" x14ac:dyDescent="0.2">
      <c r="A120" s="25"/>
      <c r="B120" s="57"/>
      <c r="C120" s="40" t="s">
        <v>75</v>
      </c>
      <c r="D120" s="109" t="s">
        <v>162</v>
      </c>
      <c r="E120" s="111"/>
      <c r="F120" s="24">
        <v>421392</v>
      </c>
      <c r="G120" s="21">
        <f t="shared" si="5"/>
        <v>150000</v>
      </c>
      <c r="H120" s="21"/>
      <c r="I120" s="21"/>
      <c r="J120" s="101"/>
      <c r="K120" s="21"/>
      <c r="L120" s="92">
        <v>150000</v>
      </c>
    </row>
    <row r="121" spans="1:12" x14ac:dyDescent="0.2">
      <c r="A121" s="25"/>
      <c r="B121" s="39" t="s">
        <v>25</v>
      </c>
      <c r="C121" s="126" t="s">
        <v>163</v>
      </c>
      <c r="D121" s="126"/>
      <c r="E121" s="126"/>
      <c r="F121" s="24">
        <v>421400</v>
      </c>
      <c r="G121" s="17">
        <f t="shared" si="5"/>
        <v>3890000</v>
      </c>
      <c r="H121" s="18">
        <f>SUM(H122:H127)</f>
        <v>0</v>
      </c>
      <c r="I121" s="18">
        <f>SUM(I122:I127)</f>
        <v>0</v>
      </c>
      <c r="J121" s="95">
        <f>SUM(J122:J127)</f>
        <v>3620000</v>
      </c>
      <c r="K121" s="18">
        <f>SUM(K122:K127)</f>
        <v>0</v>
      </c>
      <c r="L121" s="95">
        <f>SUM(L122:L127)</f>
        <v>270000</v>
      </c>
    </row>
    <row r="122" spans="1:12" x14ac:dyDescent="0.2">
      <c r="A122" s="25"/>
      <c r="B122" s="26"/>
      <c r="C122" s="40" t="s">
        <v>183</v>
      </c>
      <c r="D122" s="109" t="s">
        <v>417</v>
      </c>
      <c r="E122" s="111"/>
      <c r="F122" s="24">
        <v>421411</v>
      </c>
      <c r="G122" s="21">
        <f t="shared" si="5"/>
        <v>440000</v>
      </c>
      <c r="H122" s="17"/>
      <c r="I122" s="23"/>
      <c r="J122" s="92">
        <v>440000</v>
      </c>
      <c r="K122" s="23"/>
      <c r="L122" s="92"/>
    </row>
    <row r="123" spans="1:12" x14ac:dyDescent="0.2">
      <c r="A123" s="25"/>
      <c r="B123" s="26"/>
      <c r="C123" s="40" t="s">
        <v>184</v>
      </c>
      <c r="D123" s="109" t="s">
        <v>185</v>
      </c>
      <c r="E123" s="111"/>
      <c r="F123" s="24">
        <v>421412</v>
      </c>
      <c r="G123" s="21">
        <f t="shared" si="5"/>
        <v>600000</v>
      </c>
      <c r="H123" s="17"/>
      <c r="I123" s="23"/>
      <c r="J123" s="92">
        <v>600000</v>
      </c>
      <c r="K123" s="23"/>
      <c r="L123" s="92"/>
    </row>
    <row r="124" spans="1:12" x14ac:dyDescent="0.2">
      <c r="A124" s="25"/>
      <c r="B124" s="26"/>
      <c r="C124" s="40" t="s">
        <v>186</v>
      </c>
      <c r="D124" s="109" t="s">
        <v>187</v>
      </c>
      <c r="E124" s="111"/>
      <c r="F124" s="24">
        <v>421414</v>
      </c>
      <c r="G124" s="21">
        <f t="shared" si="5"/>
        <v>2100000</v>
      </c>
      <c r="H124" s="17"/>
      <c r="I124" s="23"/>
      <c r="J124" s="92">
        <v>2100000</v>
      </c>
      <c r="K124" s="23"/>
      <c r="L124" s="92"/>
    </row>
    <row r="125" spans="1:12" x14ac:dyDescent="0.2">
      <c r="A125" s="25"/>
      <c r="B125" s="26"/>
      <c r="C125" s="40" t="s">
        <v>188</v>
      </c>
      <c r="D125" s="109" t="s">
        <v>370</v>
      </c>
      <c r="E125" s="111"/>
      <c r="F125" s="24">
        <v>421419</v>
      </c>
      <c r="G125" s="21">
        <f t="shared" si="5"/>
        <v>270000</v>
      </c>
      <c r="H125" s="17"/>
      <c r="I125" s="23"/>
      <c r="J125" s="92"/>
      <c r="K125" s="23"/>
      <c r="L125" s="92">
        <v>270000</v>
      </c>
    </row>
    <row r="126" spans="1:12" x14ac:dyDescent="0.2">
      <c r="A126" s="25"/>
      <c r="B126" s="26"/>
      <c r="C126" s="40" t="s">
        <v>190</v>
      </c>
      <c r="D126" s="109" t="s">
        <v>189</v>
      </c>
      <c r="E126" s="111"/>
      <c r="F126" s="24">
        <v>421421</v>
      </c>
      <c r="G126" s="21">
        <f t="shared" si="5"/>
        <v>480000</v>
      </c>
      <c r="H126" s="17"/>
      <c r="I126" s="23"/>
      <c r="J126" s="92">
        <v>480000</v>
      </c>
      <c r="K126" s="23"/>
      <c r="L126" s="92"/>
    </row>
    <row r="127" spans="1:12" x14ac:dyDescent="0.2">
      <c r="A127" s="25"/>
      <c r="B127" s="26"/>
      <c r="C127" s="40" t="s">
        <v>369</v>
      </c>
      <c r="D127" s="109" t="s">
        <v>191</v>
      </c>
      <c r="E127" s="111"/>
      <c r="F127" s="24">
        <v>421422</v>
      </c>
      <c r="G127" s="21">
        <f t="shared" si="5"/>
        <v>0</v>
      </c>
      <c r="H127" s="17"/>
      <c r="I127" s="23"/>
      <c r="J127" s="92"/>
      <c r="K127" s="23"/>
      <c r="L127" s="92"/>
    </row>
    <row r="128" spans="1:12" x14ac:dyDescent="0.2">
      <c r="A128" s="57"/>
      <c r="B128" s="25" t="s">
        <v>26</v>
      </c>
      <c r="C128" s="126" t="s">
        <v>164</v>
      </c>
      <c r="D128" s="126"/>
      <c r="E128" s="126"/>
      <c r="F128" s="24">
        <v>421500</v>
      </c>
      <c r="G128" s="17">
        <f t="shared" si="5"/>
        <v>10850000</v>
      </c>
      <c r="H128" s="18">
        <f>SUM(H129:H134)</f>
        <v>0</v>
      </c>
      <c r="I128" s="18">
        <f>SUM(I129:I134)</f>
        <v>0</v>
      </c>
      <c r="J128" s="95">
        <f>SUM(J129:J134)</f>
        <v>9650000</v>
      </c>
      <c r="K128" s="18">
        <f>SUM(K129:K134)</f>
        <v>0</v>
      </c>
      <c r="L128" s="95">
        <f>SUM(L129:L134)</f>
        <v>1200000</v>
      </c>
    </row>
    <row r="129" spans="1:12" x14ac:dyDescent="0.2">
      <c r="A129" s="25"/>
      <c r="B129" s="57"/>
      <c r="C129" s="40" t="s">
        <v>27</v>
      </c>
      <c r="D129" s="131" t="s">
        <v>292</v>
      </c>
      <c r="E129" s="131"/>
      <c r="F129" s="24">
        <v>421511</v>
      </c>
      <c r="G129" s="21">
        <f t="shared" si="5"/>
        <v>800000</v>
      </c>
      <c r="H129" s="21"/>
      <c r="I129" s="23"/>
      <c r="J129" s="92">
        <v>800000</v>
      </c>
      <c r="K129" s="23"/>
      <c r="L129" s="92"/>
    </row>
    <row r="130" spans="1:12" x14ac:dyDescent="0.2">
      <c r="A130" s="25"/>
      <c r="B130" s="57"/>
      <c r="C130" s="40" t="s">
        <v>28</v>
      </c>
      <c r="D130" s="109" t="s">
        <v>434</v>
      </c>
      <c r="E130" s="111"/>
      <c r="F130" s="24">
        <v>421512</v>
      </c>
      <c r="G130" s="21">
        <f t="shared" si="5"/>
        <v>950000</v>
      </c>
      <c r="H130" s="21"/>
      <c r="I130" s="23"/>
      <c r="J130" s="92">
        <v>950000</v>
      </c>
      <c r="K130" s="23"/>
      <c r="L130" s="92"/>
    </row>
    <row r="131" spans="1:12" x14ac:dyDescent="0.2">
      <c r="A131" s="25"/>
      <c r="B131" s="57"/>
      <c r="C131" s="40" t="s">
        <v>91</v>
      </c>
      <c r="D131" s="109" t="s">
        <v>240</v>
      </c>
      <c r="E131" s="111"/>
      <c r="F131" s="24">
        <v>421513</v>
      </c>
      <c r="G131" s="21">
        <f t="shared" si="5"/>
        <v>8000000</v>
      </c>
      <c r="H131" s="21"/>
      <c r="I131" s="23"/>
      <c r="J131" s="92">
        <v>7000000</v>
      </c>
      <c r="K131" s="23"/>
      <c r="L131" s="92">
        <v>1000000</v>
      </c>
    </row>
    <row r="132" spans="1:12" x14ac:dyDescent="0.2">
      <c r="A132" s="25"/>
      <c r="B132" s="57"/>
      <c r="C132" s="40" t="s">
        <v>241</v>
      </c>
      <c r="D132" s="131" t="s">
        <v>165</v>
      </c>
      <c r="E132" s="131"/>
      <c r="F132" s="24">
        <v>421521</v>
      </c>
      <c r="G132" s="21">
        <f t="shared" si="5"/>
        <v>1100000</v>
      </c>
      <c r="H132" s="21"/>
      <c r="I132" s="23"/>
      <c r="J132" s="92">
        <v>900000</v>
      </c>
      <c r="K132" s="23"/>
      <c r="L132" s="92">
        <v>200000</v>
      </c>
    </row>
    <row r="133" spans="1:12" x14ac:dyDescent="0.2">
      <c r="A133" s="25"/>
      <c r="B133" s="57"/>
      <c r="C133" s="40" t="s">
        <v>327</v>
      </c>
      <c r="D133" s="131" t="s">
        <v>376</v>
      </c>
      <c r="E133" s="131"/>
      <c r="F133" s="24">
        <v>421522</v>
      </c>
      <c r="G133" s="21">
        <f t="shared" si="5"/>
        <v>0</v>
      </c>
      <c r="H133" s="21"/>
      <c r="I133" s="23"/>
      <c r="J133" s="92"/>
      <c r="K133" s="23"/>
      <c r="L133" s="92"/>
    </row>
    <row r="134" spans="1:12" x14ac:dyDescent="0.2">
      <c r="A134" s="25"/>
      <c r="B134" s="57"/>
      <c r="C134" s="40" t="s">
        <v>375</v>
      </c>
      <c r="D134" s="109" t="s">
        <v>418</v>
      </c>
      <c r="E134" s="111"/>
      <c r="F134" s="24">
        <v>421523</v>
      </c>
      <c r="G134" s="21">
        <f t="shared" si="5"/>
        <v>0</v>
      </c>
      <c r="H134" s="21"/>
      <c r="I134" s="23"/>
      <c r="J134" s="92"/>
      <c r="K134" s="23"/>
      <c r="L134" s="92"/>
    </row>
    <row r="135" spans="1:12" x14ac:dyDescent="0.2">
      <c r="A135" s="25"/>
      <c r="B135" s="39" t="s">
        <v>29</v>
      </c>
      <c r="C135" s="126" t="s">
        <v>166</v>
      </c>
      <c r="D135" s="126"/>
      <c r="E135" s="126"/>
      <c r="F135" s="24">
        <v>421600</v>
      </c>
      <c r="G135" s="17">
        <f t="shared" si="5"/>
        <v>606000</v>
      </c>
      <c r="H135" s="17"/>
      <c r="I135" s="18"/>
      <c r="J135" s="95">
        <v>0</v>
      </c>
      <c r="K135" s="18">
        <v>0</v>
      </c>
      <c r="L135" s="99">
        <f>L136</f>
        <v>606000</v>
      </c>
    </row>
    <row r="136" spans="1:12" x14ac:dyDescent="0.2">
      <c r="A136" s="25"/>
      <c r="B136" s="39"/>
      <c r="C136" s="65" t="s">
        <v>459</v>
      </c>
      <c r="D136" s="180" t="s">
        <v>460</v>
      </c>
      <c r="E136" s="181"/>
      <c r="F136" s="24">
        <v>421622</v>
      </c>
      <c r="G136" s="17">
        <f>SUM(H136:L136)</f>
        <v>606000</v>
      </c>
      <c r="H136" s="17"/>
      <c r="I136" s="18"/>
      <c r="J136" s="95"/>
      <c r="K136" s="18"/>
      <c r="L136" s="92">
        <v>606000</v>
      </c>
    </row>
    <row r="137" spans="1:12" x14ac:dyDescent="0.2">
      <c r="A137" s="25"/>
      <c r="B137" s="39" t="s">
        <v>59</v>
      </c>
      <c r="C137" s="126" t="s">
        <v>238</v>
      </c>
      <c r="D137" s="126"/>
      <c r="E137" s="126"/>
      <c r="F137" s="24">
        <v>421900</v>
      </c>
      <c r="G137" s="17">
        <f t="shared" si="5"/>
        <v>1700000</v>
      </c>
      <c r="H137" s="18">
        <f>SUM(H139)</f>
        <v>0</v>
      </c>
      <c r="I137" s="18">
        <f>SUM(I139)</f>
        <v>0</v>
      </c>
      <c r="J137" s="95">
        <f>SUM(J139)</f>
        <v>0</v>
      </c>
      <c r="K137" s="18">
        <f>SUM(K139)</f>
        <v>0</v>
      </c>
      <c r="L137" s="95">
        <f>SUM(L138:L139)</f>
        <v>1700000</v>
      </c>
    </row>
    <row r="138" spans="1:12" x14ac:dyDescent="0.2">
      <c r="A138" s="25"/>
      <c r="B138" s="39"/>
      <c r="C138" s="26" t="s">
        <v>239</v>
      </c>
      <c r="D138" s="109" t="s">
        <v>317</v>
      </c>
      <c r="E138" s="111"/>
      <c r="F138" s="24">
        <v>421911</v>
      </c>
      <c r="G138" s="21">
        <f t="shared" si="5"/>
        <v>0</v>
      </c>
      <c r="H138" s="18"/>
      <c r="I138" s="18"/>
      <c r="J138" s="95"/>
      <c r="K138" s="18"/>
      <c r="L138" s="92"/>
    </row>
    <row r="139" spans="1:12" x14ac:dyDescent="0.2">
      <c r="A139" s="25"/>
      <c r="B139" s="26"/>
      <c r="C139" s="26" t="s">
        <v>354</v>
      </c>
      <c r="D139" s="109" t="s">
        <v>318</v>
      </c>
      <c r="E139" s="111"/>
      <c r="F139" s="59">
        <v>421919</v>
      </c>
      <c r="G139" s="21">
        <f t="shared" si="5"/>
        <v>1700000</v>
      </c>
      <c r="H139" s="21"/>
      <c r="I139" s="23"/>
      <c r="J139" s="92"/>
      <c r="K139" s="23"/>
      <c r="L139" s="92">
        <v>1700000</v>
      </c>
    </row>
    <row r="140" spans="1:12" x14ac:dyDescent="0.2">
      <c r="A140" s="39">
        <v>2</v>
      </c>
      <c r="B140" s="115" t="s">
        <v>30</v>
      </c>
      <c r="C140" s="116"/>
      <c r="D140" s="116"/>
      <c r="E140" s="117"/>
      <c r="F140" s="24">
        <v>422000</v>
      </c>
      <c r="G140" s="17">
        <f>SUM(H140:L140)</f>
        <v>4700000</v>
      </c>
      <c r="H140" s="17">
        <f>H141+H146+H148+H150</f>
        <v>0</v>
      </c>
      <c r="I140" s="17">
        <f>I141+I146+I148+I150</f>
        <v>0</v>
      </c>
      <c r="J140" s="97">
        <f>J141+J146+J148+J150</f>
        <v>3250000</v>
      </c>
      <c r="K140" s="17">
        <f>K141+K146+K148+K150</f>
        <v>0</v>
      </c>
      <c r="L140" s="97">
        <f>L141+L146+L148+L150</f>
        <v>1450000</v>
      </c>
    </row>
    <row r="141" spans="1:12" x14ac:dyDescent="0.2">
      <c r="A141" s="39"/>
      <c r="B141" s="66" t="s">
        <v>90</v>
      </c>
      <c r="C141" s="126" t="s">
        <v>31</v>
      </c>
      <c r="D141" s="126"/>
      <c r="E141" s="126"/>
      <c r="F141" s="24">
        <v>422100</v>
      </c>
      <c r="G141" s="17">
        <f t="shared" ref="G141:G151" si="6">SUM(H141:L141)</f>
        <v>1650000</v>
      </c>
      <c r="H141" s="18">
        <f>SUM(H142:H145)</f>
        <v>0</v>
      </c>
      <c r="I141" s="18">
        <f>SUM(I142:I145)</f>
        <v>0</v>
      </c>
      <c r="J141" s="95">
        <f>SUM(J142:J145)</f>
        <v>700000</v>
      </c>
      <c r="K141" s="18">
        <f>SUM(K142:K145)</f>
        <v>0</v>
      </c>
      <c r="L141" s="95">
        <f>SUM(L142:L145)</f>
        <v>950000</v>
      </c>
    </row>
    <row r="142" spans="1:12" x14ac:dyDescent="0.2">
      <c r="A142" s="39"/>
      <c r="B142" s="27"/>
      <c r="C142" s="67" t="s">
        <v>93</v>
      </c>
      <c r="D142" s="109" t="s">
        <v>85</v>
      </c>
      <c r="E142" s="111"/>
      <c r="F142" s="60">
        <v>422111</v>
      </c>
      <c r="G142" s="21">
        <f t="shared" si="6"/>
        <v>1100000</v>
      </c>
      <c r="H142" s="23"/>
      <c r="I142" s="23"/>
      <c r="J142" s="92">
        <v>600000</v>
      </c>
      <c r="K142" s="23"/>
      <c r="L142" s="92">
        <v>500000</v>
      </c>
    </row>
    <row r="143" spans="1:12" x14ac:dyDescent="0.2">
      <c r="A143" s="39"/>
      <c r="B143" s="27"/>
      <c r="C143" s="67" t="s">
        <v>94</v>
      </c>
      <c r="D143" s="109" t="s">
        <v>82</v>
      </c>
      <c r="E143" s="111"/>
      <c r="F143" s="60">
        <v>422121</v>
      </c>
      <c r="G143" s="21">
        <f t="shared" si="6"/>
        <v>0</v>
      </c>
      <c r="H143" s="23"/>
      <c r="I143" s="23"/>
      <c r="J143" s="92"/>
      <c r="K143" s="23"/>
      <c r="L143" s="92"/>
    </row>
    <row r="144" spans="1:12" x14ac:dyDescent="0.2">
      <c r="A144" s="26"/>
      <c r="B144" s="27"/>
      <c r="C144" s="67" t="s">
        <v>95</v>
      </c>
      <c r="D144" s="109" t="s">
        <v>228</v>
      </c>
      <c r="E144" s="111"/>
      <c r="F144" s="60">
        <v>422131</v>
      </c>
      <c r="G144" s="21">
        <f t="shared" si="6"/>
        <v>300000</v>
      </c>
      <c r="H144" s="23"/>
      <c r="I144" s="23"/>
      <c r="J144" s="92"/>
      <c r="K144" s="23"/>
      <c r="L144" s="92">
        <v>300000</v>
      </c>
    </row>
    <row r="145" spans="1:12" x14ac:dyDescent="0.2">
      <c r="A145" s="39"/>
      <c r="B145" s="27"/>
      <c r="C145" s="67" t="s">
        <v>227</v>
      </c>
      <c r="D145" s="109" t="s">
        <v>76</v>
      </c>
      <c r="E145" s="111"/>
      <c r="F145" s="60">
        <v>422199</v>
      </c>
      <c r="G145" s="21">
        <f t="shared" si="6"/>
        <v>250000</v>
      </c>
      <c r="H145" s="23"/>
      <c r="I145" s="23"/>
      <c r="J145" s="92">
        <v>100000</v>
      </c>
      <c r="K145" s="23"/>
      <c r="L145" s="92">
        <v>150000</v>
      </c>
    </row>
    <row r="146" spans="1:12" x14ac:dyDescent="0.2">
      <c r="A146" s="39"/>
      <c r="B146" s="66" t="s">
        <v>77</v>
      </c>
      <c r="C146" s="126" t="s">
        <v>32</v>
      </c>
      <c r="D146" s="126"/>
      <c r="E146" s="126"/>
      <c r="F146" s="24">
        <v>422200</v>
      </c>
      <c r="G146" s="17">
        <f t="shared" si="6"/>
        <v>50000</v>
      </c>
      <c r="H146" s="18">
        <f>SUM(H147)</f>
        <v>0</v>
      </c>
      <c r="I146" s="18">
        <f>SUM(I147)</f>
        <v>0</v>
      </c>
      <c r="J146" s="95">
        <f>SUM(J147)</f>
        <v>50000</v>
      </c>
      <c r="K146" s="18">
        <f>SUM(K147)</f>
        <v>0</v>
      </c>
      <c r="L146" s="95">
        <f>SUM(L147)</f>
        <v>0</v>
      </c>
    </row>
    <row r="147" spans="1:12" x14ac:dyDescent="0.2">
      <c r="A147" s="39"/>
      <c r="B147" s="27"/>
      <c r="C147" s="40" t="s">
        <v>229</v>
      </c>
      <c r="D147" s="109" t="s">
        <v>230</v>
      </c>
      <c r="E147" s="111"/>
      <c r="F147" s="24">
        <v>422299</v>
      </c>
      <c r="G147" s="21">
        <f t="shared" si="6"/>
        <v>50000</v>
      </c>
      <c r="H147" s="21"/>
      <c r="I147" s="23"/>
      <c r="J147" s="92">
        <v>50000</v>
      </c>
      <c r="K147" s="18"/>
      <c r="L147" s="92"/>
    </row>
    <row r="148" spans="1:12" x14ac:dyDescent="0.2">
      <c r="A148" s="39"/>
      <c r="B148" s="66" t="s">
        <v>83</v>
      </c>
      <c r="C148" s="126" t="s">
        <v>66</v>
      </c>
      <c r="D148" s="126"/>
      <c r="E148" s="126"/>
      <c r="F148" s="24">
        <v>422300</v>
      </c>
      <c r="G148" s="17">
        <f t="shared" si="6"/>
        <v>3000000</v>
      </c>
      <c r="H148" s="18">
        <f>SUM(H149)</f>
        <v>0</v>
      </c>
      <c r="I148" s="18">
        <f>SUM(I149)</f>
        <v>0</v>
      </c>
      <c r="J148" s="95">
        <f>SUM(J149)</f>
        <v>2500000</v>
      </c>
      <c r="K148" s="18">
        <f>SUM(K149)</f>
        <v>0</v>
      </c>
      <c r="L148" s="95">
        <f>SUM(L149)</f>
        <v>500000</v>
      </c>
    </row>
    <row r="149" spans="1:12" x14ac:dyDescent="0.2">
      <c r="A149" s="39"/>
      <c r="B149" s="27"/>
      <c r="C149" s="40" t="s">
        <v>231</v>
      </c>
      <c r="D149" s="109" t="s">
        <v>232</v>
      </c>
      <c r="E149" s="111"/>
      <c r="F149" s="60">
        <v>422311</v>
      </c>
      <c r="G149" s="21">
        <f t="shared" si="6"/>
        <v>3000000</v>
      </c>
      <c r="H149" s="23"/>
      <c r="I149" s="18"/>
      <c r="J149" s="92">
        <v>2500000</v>
      </c>
      <c r="K149" s="18"/>
      <c r="L149" s="92">
        <v>500000</v>
      </c>
    </row>
    <row r="150" spans="1:12" x14ac:dyDescent="0.2">
      <c r="A150" s="39"/>
      <c r="B150" s="66" t="s">
        <v>84</v>
      </c>
      <c r="C150" s="115" t="s">
        <v>68</v>
      </c>
      <c r="D150" s="116"/>
      <c r="E150" s="117"/>
      <c r="F150" s="24">
        <v>422900</v>
      </c>
      <c r="G150" s="17">
        <f t="shared" si="6"/>
        <v>0</v>
      </c>
      <c r="H150" s="18">
        <f>SUM(H151)</f>
        <v>0</v>
      </c>
      <c r="I150" s="18">
        <f>SUM(I151)</f>
        <v>0</v>
      </c>
      <c r="J150" s="95"/>
      <c r="K150" s="18"/>
      <c r="L150" s="95"/>
    </row>
    <row r="151" spans="1:12" x14ac:dyDescent="0.2">
      <c r="A151" s="39"/>
      <c r="B151" s="27"/>
      <c r="C151" s="40" t="s">
        <v>234</v>
      </c>
      <c r="D151" s="109" t="s">
        <v>233</v>
      </c>
      <c r="E151" s="111"/>
      <c r="F151" s="24">
        <v>422911</v>
      </c>
      <c r="G151" s="21">
        <f t="shared" si="6"/>
        <v>60000</v>
      </c>
      <c r="H151" s="18"/>
      <c r="I151" s="23"/>
      <c r="J151" s="92"/>
      <c r="K151" s="18"/>
      <c r="L151" s="92">
        <v>60000</v>
      </c>
    </row>
    <row r="152" spans="1:12" x14ac:dyDescent="0.2">
      <c r="A152" s="39">
        <v>3</v>
      </c>
      <c r="B152" s="112" t="s">
        <v>58</v>
      </c>
      <c r="C152" s="113"/>
      <c r="D152" s="113"/>
      <c r="E152" s="114"/>
      <c r="F152" s="24">
        <v>423000</v>
      </c>
      <c r="G152" s="17">
        <f>SUM(H152:L152)</f>
        <v>38200000</v>
      </c>
      <c r="H152" s="18">
        <f>SUM(H153+H155+H158+H161+H165+H168+H170+H172)</f>
        <v>0</v>
      </c>
      <c r="I152" s="18">
        <f>SUM(I153+I155+I158+I161+I165+I168+I170+I172)</f>
        <v>0</v>
      </c>
      <c r="J152" s="95">
        <f>SUM(J153+J155+J158+J161+J165+J168+J170+J172)</f>
        <v>27500000</v>
      </c>
      <c r="K152" s="18">
        <f>SUM(K153+K155+K158+K161+K165+K168+K170+K172)</f>
        <v>0</v>
      </c>
      <c r="L152" s="95">
        <f>SUM(L153+L155+L158+L161+L165+L168+L170+L172)</f>
        <v>10700000</v>
      </c>
    </row>
    <row r="153" spans="1:12" x14ac:dyDescent="0.2">
      <c r="A153" s="39"/>
      <c r="B153" s="66" t="s">
        <v>69</v>
      </c>
      <c r="C153" s="112" t="s">
        <v>244</v>
      </c>
      <c r="D153" s="113"/>
      <c r="E153" s="114"/>
      <c r="F153" s="24">
        <v>423100</v>
      </c>
      <c r="G153" s="17">
        <f>SUM(H153:L153)</f>
        <v>0</v>
      </c>
      <c r="H153" s="18">
        <f>SUM(H154)</f>
        <v>0</v>
      </c>
      <c r="I153" s="18">
        <f>SUM(I154)</f>
        <v>0</v>
      </c>
      <c r="J153" s="95">
        <f>SUM(J154)</f>
        <v>0</v>
      </c>
      <c r="K153" s="18">
        <f>SUM(K154)</f>
        <v>0</v>
      </c>
      <c r="L153" s="95">
        <f>SUM(L154)</f>
        <v>0</v>
      </c>
    </row>
    <row r="154" spans="1:12" x14ac:dyDescent="0.2">
      <c r="A154" s="39"/>
      <c r="B154" s="27"/>
      <c r="C154" s="67" t="s">
        <v>245</v>
      </c>
      <c r="D154" s="118" t="s">
        <v>74</v>
      </c>
      <c r="E154" s="119"/>
      <c r="F154" s="24">
        <v>423191</v>
      </c>
      <c r="G154" s="21">
        <f>SUM(H154:L154)</f>
        <v>0</v>
      </c>
      <c r="H154" s="23"/>
      <c r="I154" s="23"/>
      <c r="J154" s="92"/>
      <c r="K154" s="23"/>
      <c r="L154" s="92"/>
    </row>
    <row r="155" spans="1:12" x14ac:dyDescent="0.2">
      <c r="A155" s="39"/>
      <c r="B155" s="66" t="s">
        <v>70</v>
      </c>
      <c r="C155" s="126" t="s">
        <v>246</v>
      </c>
      <c r="D155" s="126"/>
      <c r="E155" s="126"/>
      <c r="F155" s="24">
        <v>423200</v>
      </c>
      <c r="G155" s="17">
        <f t="shared" ref="G155:G208" si="7">SUM(H155:L155)</f>
        <v>10340000</v>
      </c>
      <c r="H155" s="18">
        <f>SUM(H156:H157)</f>
        <v>0</v>
      </c>
      <c r="I155" s="18">
        <f>SUM(I156:I157)</f>
        <v>0</v>
      </c>
      <c r="J155" s="95">
        <f>SUM(J156:J157)</f>
        <v>10100000</v>
      </c>
      <c r="K155" s="18">
        <f>SUM(K156:K157)</f>
        <v>0</v>
      </c>
      <c r="L155" s="95">
        <f>SUM(L156:L157)</f>
        <v>240000</v>
      </c>
    </row>
    <row r="156" spans="1:12" x14ac:dyDescent="0.2">
      <c r="A156" s="39"/>
      <c r="B156" s="27"/>
      <c r="C156" s="40" t="s">
        <v>79</v>
      </c>
      <c r="D156" s="109" t="s">
        <v>247</v>
      </c>
      <c r="E156" s="111"/>
      <c r="F156" s="24">
        <v>423212</v>
      </c>
      <c r="G156" s="21">
        <f t="shared" si="7"/>
        <v>10290000</v>
      </c>
      <c r="H156" s="21"/>
      <c r="I156" s="23"/>
      <c r="J156" s="92">
        <v>10050000</v>
      </c>
      <c r="K156" s="23"/>
      <c r="L156" s="92">
        <v>240000</v>
      </c>
    </row>
    <row r="157" spans="1:12" x14ac:dyDescent="0.2">
      <c r="A157" s="39"/>
      <c r="B157" s="27"/>
      <c r="C157" s="40" t="s">
        <v>80</v>
      </c>
      <c r="D157" s="109" t="s">
        <v>62</v>
      </c>
      <c r="E157" s="111"/>
      <c r="F157" s="24">
        <v>423221</v>
      </c>
      <c r="G157" s="21">
        <f t="shared" si="7"/>
        <v>50000</v>
      </c>
      <c r="H157" s="21"/>
      <c r="I157" s="23"/>
      <c r="J157" s="92">
        <v>50000</v>
      </c>
      <c r="K157" s="23"/>
      <c r="L157" s="92"/>
    </row>
    <row r="158" spans="1:12" x14ac:dyDescent="0.2">
      <c r="A158" s="39"/>
      <c r="B158" s="66" t="s">
        <v>71</v>
      </c>
      <c r="C158" s="126" t="s">
        <v>33</v>
      </c>
      <c r="D158" s="126"/>
      <c r="E158" s="126"/>
      <c r="F158" s="24">
        <v>423300</v>
      </c>
      <c r="G158" s="17">
        <f t="shared" si="7"/>
        <v>22800000</v>
      </c>
      <c r="H158" s="18">
        <f>SUM(H159+H160)</f>
        <v>0</v>
      </c>
      <c r="I158" s="18">
        <f>SUM(I159+I160)</f>
        <v>0</v>
      </c>
      <c r="J158" s="95">
        <f>SUM(J159+J160)</f>
        <v>17000000</v>
      </c>
      <c r="K158" s="18">
        <f>SUM(K159+K160)</f>
        <v>0</v>
      </c>
      <c r="L158" s="95">
        <f>SUM(L159+L160)</f>
        <v>5800000</v>
      </c>
    </row>
    <row r="159" spans="1:12" x14ac:dyDescent="0.2">
      <c r="A159" s="39"/>
      <c r="B159" s="27"/>
      <c r="C159" s="40" t="s">
        <v>248</v>
      </c>
      <c r="D159" s="109" t="s">
        <v>33</v>
      </c>
      <c r="E159" s="111"/>
      <c r="F159" s="24">
        <v>423311</v>
      </c>
      <c r="G159" s="21">
        <f t="shared" si="7"/>
        <v>22700000</v>
      </c>
      <c r="H159" s="21"/>
      <c r="I159" s="23"/>
      <c r="J159" s="92">
        <v>17000000</v>
      </c>
      <c r="K159" s="23"/>
      <c r="L159" s="92">
        <f>200000+500000+5000000</f>
        <v>5700000</v>
      </c>
    </row>
    <row r="160" spans="1:12" x14ac:dyDescent="0.2">
      <c r="A160" s="39"/>
      <c r="B160" s="27"/>
      <c r="C160" s="40" t="s">
        <v>330</v>
      </c>
      <c r="D160" s="109" t="s">
        <v>331</v>
      </c>
      <c r="E160" s="111"/>
      <c r="F160" s="24">
        <v>423321</v>
      </c>
      <c r="G160" s="21">
        <f t="shared" si="7"/>
        <v>100000</v>
      </c>
      <c r="H160" s="21"/>
      <c r="I160" s="23"/>
      <c r="J160" s="92"/>
      <c r="K160" s="23"/>
      <c r="L160" s="92">
        <v>100000</v>
      </c>
    </row>
    <row r="161" spans="1:12" x14ac:dyDescent="0.2">
      <c r="A161" s="39"/>
      <c r="B161" s="66" t="s">
        <v>72</v>
      </c>
      <c r="C161" s="115" t="s">
        <v>34</v>
      </c>
      <c r="D161" s="116"/>
      <c r="E161" s="117"/>
      <c r="F161" s="24">
        <v>423400</v>
      </c>
      <c r="G161" s="17">
        <f t="shared" si="7"/>
        <v>430000</v>
      </c>
      <c r="H161" s="18">
        <f>SUM(H162:H164)</f>
        <v>0</v>
      </c>
      <c r="I161" s="18">
        <f>SUM(I162:I164)</f>
        <v>0</v>
      </c>
      <c r="J161" s="95">
        <f>SUM(J162:J164)</f>
        <v>400000</v>
      </c>
      <c r="K161" s="18">
        <f>SUM(K162:K164)</f>
        <v>0</v>
      </c>
      <c r="L161" s="95">
        <f>SUM(L162:L164)</f>
        <v>30000</v>
      </c>
    </row>
    <row r="162" spans="1:12" ht="12" customHeight="1" x14ac:dyDescent="0.2">
      <c r="A162" s="39"/>
      <c r="B162" s="27"/>
      <c r="C162" s="40" t="s">
        <v>251</v>
      </c>
      <c r="D162" s="109" t="s">
        <v>252</v>
      </c>
      <c r="E162" s="111"/>
      <c r="F162" s="24">
        <v>423431</v>
      </c>
      <c r="G162" s="21">
        <f t="shared" si="7"/>
        <v>30000</v>
      </c>
      <c r="H162" s="21"/>
      <c r="I162" s="23"/>
      <c r="J162" s="92"/>
      <c r="K162" s="23"/>
      <c r="L162" s="92">
        <v>30000</v>
      </c>
    </row>
    <row r="163" spans="1:12" x14ac:dyDescent="0.2">
      <c r="A163" s="39"/>
      <c r="B163" s="27"/>
      <c r="C163" s="40" t="s">
        <v>253</v>
      </c>
      <c r="D163" s="109" t="s">
        <v>254</v>
      </c>
      <c r="E163" s="111"/>
      <c r="F163" s="24">
        <v>423432</v>
      </c>
      <c r="G163" s="21">
        <f t="shared" si="7"/>
        <v>400000</v>
      </c>
      <c r="H163" s="21"/>
      <c r="I163" s="23"/>
      <c r="J163" s="92">
        <v>400000</v>
      </c>
      <c r="K163" s="23"/>
      <c r="L163" s="92"/>
    </row>
    <row r="164" spans="1:12" x14ac:dyDescent="0.2">
      <c r="A164" s="39"/>
      <c r="B164" s="27"/>
      <c r="C164" s="40" t="s">
        <v>255</v>
      </c>
      <c r="D164" s="109" t="s">
        <v>256</v>
      </c>
      <c r="E164" s="111"/>
      <c r="F164" s="24">
        <v>423441</v>
      </c>
      <c r="G164" s="21">
        <f t="shared" si="7"/>
        <v>0</v>
      </c>
      <c r="H164" s="21"/>
      <c r="I164" s="23"/>
      <c r="J164" s="92"/>
      <c r="K164" s="23"/>
      <c r="L164" s="92"/>
    </row>
    <row r="165" spans="1:12" x14ac:dyDescent="0.2">
      <c r="A165" s="39"/>
      <c r="B165" s="66" t="s">
        <v>73</v>
      </c>
      <c r="C165" s="115" t="s">
        <v>35</v>
      </c>
      <c r="D165" s="116"/>
      <c r="E165" s="117"/>
      <c r="F165" s="24">
        <v>423500</v>
      </c>
      <c r="G165" s="17">
        <f t="shared" si="7"/>
        <v>3730000</v>
      </c>
      <c r="H165" s="18">
        <f>SUM(H166:H167)</f>
        <v>0</v>
      </c>
      <c r="I165" s="18">
        <f>SUM(I166:I167)</f>
        <v>0</v>
      </c>
      <c r="J165" s="95">
        <f>SUM(J166:J167)</f>
        <v>0</v>
      </c>
      <c r="K165" s="18">
        <f>SUM(K166:K167)</f>
        <v>0</v>
      </c>
      <c r="L165" s="95">
        <f>SUM(L166:L167)</f>
        <v>3730000</v>
      </c>
    </row>
    <row r="166" spans="1:12" x14ac:dyDescent="0.2">
      <c r="A166" s="39"/>
      <c r="B166" s="27"/>
      <c r="C166" s="40" t="s">
        <v>249</v>
      </c>
      <c r="D166" s="109" t="s">
        <v>419</v>
      </c>
      <c r="E166" s="111"/>
      <c r="F166" s="24">
        <v>423591</v>
      </c>
      <c r="G166" s="21">
        <f t="shared" si="7"/>
        <v>1500000</v>
      </c>
      <c r="H166" s="21"/>
      <c r="I166" s="23"/>
      <c r="J166" s="92"/>
      <c r="K166" s="23"/>
      <c r="L166" s="92">
        <v>1500000</v>
      </c>
    </row>
    <row r="167" spans="1:12" x14ac:dyDescent="0.2">
      <c r="A167" s="39"/>
      <c r="B167" s="27"/>
      <c r="C167" s="40" t="s">
        <v>250</v>
      </c>
      <c r="D167" s="109" t="s">
        <v>243</v>
      </c>
      <c r="E167" s="111"/>
      <c r="F167" s="24">
        <v>423599</v>
      </c>
      <c r="G167" s="21">
        <f t="shared" si="7"/>
        <v>2230000</v>
      </c>
      <c r="H167" s="21"/>
      <c r="I167" s="23"/>
      <c r="J167" s="92"/>
      <c r="K167" s="23"/>
      <c r="L167" s="92">
        <f>2000000+130000+100000</f>
        <v>2230000</v>
      </c>
    </row>
    <row r="168" spans="1:12" x14ac:dyDescent="0.2">
      <c r="A168" s="39"/>
      <c r="B168" s="66" t="s">
        <v>60</v>
      </c>
      <c r="C168" s="115" t="s">
        <v>36</v>
      </c>
      <c r="D168" s="116"/>
      <c r="E168" s="117"/>
      <c r="F168" s="24">
        <v>423600</v>
      </c>
      <c r="G168" s="17">
        <f t="shared" si="7"/>
        <v>0</v>
      </c>
      <c r="H168" s="18">
        <f>SUM(H169:H169)</f>
        <v>0</v>
      </c>
      <c r="I168" s="18"/>
      <c r="J168" s="95">
        <f>SUM(J169:J169)</f>
        <v>0</v>
      </c>
      <c r="K168" s="18">
        <f>SUM(K169:K169)</f>
        <v>0</v>
      </c>
      <c r="L168" s="95">
        <f>SUM(L169:L169)</f>
        <v>0</v>
      </c>
    </row>
    <row r="169" spans="1:12" x14ac:dyDescent="0.2">
      <c r="A169" s="39"/>
      <c r="B169" s="27"/>
      <c r="C169" s="40" t="s">
        <v>242</v>
      </c>
      <c r="D169" s="109" t="s">
        <v>37</v>
      </c>
      <c r="E169" s="111"/>
      <c r="F169" s="24">
        <v>423611</v>
      </c>
      <c r="G169" s="21">
        <f t="shared" si="7"/>
        <v>0</v>
      </c>
      <c r="H169" s="21"/>
      <c r="I169" s="23"/>
      <c r="J169" s="92"/>
      <c r="K169" s="23"/>
      <c r="L169" s="92"/>
    </row>
    <row r="170" spans="1:12" x14ac:dyDescent="0.2">
      <c r="A170" s="39"/>
      <c r="B170" s="66" t="s">
        <v>61</v>
      </c>
      <c r="C170" s="115" t="s">
        <v>257</v>
      </c>
      <c r="D170" s="116"/>
      <c r="E170" s="117"/>
      <c r="F170" s="24">
        <v>423700</v>
      </c>
      <c r="G170" s="17">
        <f t="shared" si="7"/>
        <v>750000</v>
      </c>
      <c r="H170" s="17">
        <f>SUM(H171)</f>
        <v>0</v>
      </c>
      <c r="I170" s="17">
        <f>SUM(I171)</f>
        <v>0</v>
      </c>
      <c r="J170" s="97">
        <f>SUM(J171)</f>
        <v>0</v>
      </c>
      <c r="K170" s="17">
        <f>SUM(K171)</f>
        <v>0</v>
      </c>
      <c r="L170" s="97">
        <f>SUM(L171)</f>
        <v>750000</v>
      </c>
    </row>
    <row r="171" spans="1:12" x14ac:dyDescent="0.2">
      <c r="A171" s="39"/>
      <c r="B171" s="27"/>
      <c r="C171" s="67" t="s">
        <v>96</v>
      </c>
      <c r="D171" s="165" t="s">
        <v>257</v>
      </c>
      <c r="E171" s="166"/>
      <c r="F171" s="24">
        <v>423711</v>
      </c>
      <c r="G171" s="21">
        <f t="shared" si="7"/>
        <v>750000</v>
      </c>
      <c r="H171" s="21"/>
      <c r="I171" s="23"/>
      <c r="J171" s="92"/>
      <c r="K171" s="23"/>
      <c r="L171" s="92">
        <v>750000</v>
      </c>
    </row>
    <row r="172" spans="1:12" x14ac:dyDescent="0.2">
      <c r="A172" s="39"/>
      <c r="B172" s="66" t="s">
        <v>78</v>
      </c>
      <c r="C172" s="168" t="s">
        <v>86</v>
      </c>
      <c r="D172" s="169"/>
      <c r="E172" s="170"/>
      <c r="F172" s="24">
        <v>423900</v>
      </c>
      <c r="G172" s="47">
        <f t="shared" si="7"/>
        <v>150000</v>
      </c>
      <c r="H172" s="18">
        <f>SUM(H173)</f>
        <v>0</v>
      </c>
      <c r="I172" s="18">
        <f>SUM(I173)</f>
        <v>0</v>
      </c>
      <c r="J172" s="95">
        <f>SUM(J173)</f>
        <v>0</v>
      </c>
      <c r="K172" s="18">
        <f>SUM(K173)</f>
        <v>0</v>
      </c>
      <c r="L172" s="95">
        <f>SUM(L173)</f>
        <v>150000</v>
      </c>
    </row>
    <row r="173" spans="1:12" x14ac:dyDescent="0.2">
      <c r="A173" s="39"/>
      <c r="B173" s="27"/>
      <c r="C173" s="67" t="s">
        <v>92</v>
      </c>
      <c r="D173" s="131" t="s">
        <v>86</v>
      </c>
      <c r="E173" s="131"/>
      <c r="F173" s="24">
        <v>423911</v>
      </c>
      <c r="G173" s="21">
        <f t="shared" si="7"/>
        <v>150000</v>
      </c>
      <c r="H173" s="21"/>
      <c r="I173" s="23"/>
      <c r="J173" s="92" t="s">
        <v>371</v>
      </c>
      <c r="K173" s="23"/>
      <c r="L173" s="92">
        <v>150000</v>
      </c>
    </row>
    <row r="174" spans="1:12" x14ac:dyDescent="0.2">
      <c r="A174" s="25">
        <v>4</v>
      </c>
      <c r="B174" s="115" t="s">
        <v>38</v>
      </c>
      <c r="C174" s="116"/>
      <c r="D174" s="116"/>
      <c r="E174" s="117"/>
      <c r="F174" s="24">
        <v>424000</v>
      </c>
      <c r="G174" s="21">
        <f t="shared" si="7"/>
        <v>6780000</v>
      </c>
      <c r="H174" s="18">
        <f>SUM(H175+H179+H181)</f>
        <v>0</v>
      </c>
      <c r="I174" s="18">
        <f>SUM(I175+I179+I181)</f>
        <v>0</v>
      </c>
      <c r="J174" s="95">
        <f>SUM(J175+J179+J181)</f>
        <v>5500000</v>
      </c>
      <c r="K174" s="18">
        <f>SUM(K175+K179+K181)</f>
        <v>0</v>
      </c>
      <c r="L174" s="95">
        <f>SUM(L175+L179+L181)</f>
        <v>1280000</v>
      </c>
    </row>
    <row r="175" spans="1:12" x14ac:dyDescent="0.2">
      <c r="A175" s="25"/>
      <c r="B175" s="39" t="s">
        <v>12</v>
      </c>
      <c r="C175" s="115" t="s">
        <v>258</v>
      </c>
      <c r="D175" s="116"/>
      <c r="E175" s="117"/>
      <c r="F175" s="24">
        <v>424300</v>
      </c>
      <c r="G175" s="17">
        <f t="shared" si="7"/>
        <v>6780000</v>
      </c>
      <c r="H175" s="18">
        <f>SUM(H177:H178)</f>
        <v>0</v>
      </c>
      <c r="I175" s="18">
        <f>SUM(I177:I178)</f>
        <v>0</v>
      </c>
      <c r="J175" s="95">
        <f>SUM(J176:J178)</f>
        <v>5500000</v>
      </c>
      <c r="K175" s="18">
        <f>SUM(K177:K178)</f>
        <v>0</v>
      </c>
      <c r="L175" s="95">
        <f>SUM(L176:L178)</f>
        <v>1280000</v>
      </c>
    </row>
    <row r="176" spans="1:12" x14ac:dyDescent="0.2">
      <c r="A176" s="25"/>
      <c r="B176" s="39"/>
      <c r="C176" s="40" t="s">
        <v>443</v>
      </c>
      <c r="D176" s="68" t="s">
        <v>444</v>
      </c>
      <c r="E176" s="69"/>
      <c r="F176" s="24">
        <v>424311</v>
      </c>
      <c r="G176" s="31">
        <f t="shared" si="7"/>
        <v>20000</v>
      </c>
      <c r="H176" s="18"/>
      <c r="I176" s="18"/>
      <c r="J176" s="95"/>
      <c r="K176" s="18"/>
      <c r="L176" s="92">
        <v>20000</v>
      </c>
    </row>
    <row r="177" spans="1:12" x14ac:dyDescent="0.2">
      <c r="A177" s="25"/>
      <c r="B177" s="26"/>
      <c r="C177" s="40" t="s">
        <v>259</v>
      </c>
      <c r="D177" s="109" t="s">
        <v>285</v>
      </c>
      <c r="E177" s="111"/>
      <c r="F177" s="24">
        <v>424331</v>
      </c>
      <c r="G177" s="21">
        <f t="shared" si="7"/>
        <v>2760000</v>
      </c>
      <c r="H177" s="21"/>
      <c r="I177" s="23"/>
      <c r="J177" s="92">
        <v>2500000</v>
      </c>
      <c r="K177" s="23"/>
      <c r="L177" s="92">
        <v>260000</v>
      </c>
    </row>
    <row r="178" spans="1:12" x14ac:dyDescent="0.2">
      <c r="A178" s="25"/>
      <c r="B178" s="26"/>
      <c r="C178" s="40" t="s">
        <v>260</v>
      </c>
      <c r="D178" s="109" t="s">
        <v>261</v>
      </c>
      <c r="E178" s="111"/>
      <c r="F178" s="24">
        <v>424351</v>
      </c>
      <c r="G178" s="21">
        <f t="shared" si="7"/>
        <v>4000000</v>
      </c>
      <c r="H178" s="21"/>
      <c r="I178" s="23"/>
      <c r="J178" s="92">
        <v>3000000</v>
      </c>
      <c r="K178" s="23"/>
      <c r="L178" s="92">
        <v>1000000</v>
      </c>
    </row>
    <row r="179" spans="1:12" x14ac:dyDescent="0.2">
      <c r="A179" s="57"/>
      <c r="B179" s="39" t="s">
        <v>13</v>
      </c>
      <c r="C179" s="115" t="s">
        <v>420</v>
      </c>
      <c r="D179" s="116"/>
      <c r="E179" s="117"/>
      <c r="F179" s="24">
        <v>424600</v>
      </c>
      <c r="G179" s="17">
        <f t="shared" si="7"/>
        <v>0</v>
      </c>
      <c r="H179" s="18">
        <f>SUM(H180)</f>
        <v>0</v>
      </c>
      <c r="I179" s="18">
        <f>SUM(I180)</f>
        <v>0</v>
      </c>
      <c r="J179" s="95">
        <f>SUM(J180)</f>
        <v>0</v>
      </c>
      <c r="K179" s="18">
        <f>SUM(K180)</f>
        <v>0</v>
      </c>
      <c r="L179" s="95">
        <f>SUM(L180)</f>
        <v>0</v>
      </c>
    </row>
    <row r="180" spans="1:12" x14ac:dyDescent="0.2">
      <c r="A180" s="25"/>
      <c r="B180" s="26"/>
      <c r="C180" s="70" t="s">
        <v>262</v>
      </c>
      <c r="D180" s="165" t="s">
        <v>263</v>
      </c>
      <c r="E180" s="166"/>
      <c r="F180" s="24">
        <v>424631</v>
      </c>
      <c r="G180" s="21">
        <f t="shared" si="7"/>
        <v>0</v>
      </c>
      <c r="H180" s="21"/>
      <c r="I180" s="23"/>
      <c r="J180" s="92"/>
      <c r="K180" s="23"/>
      <c r="L180" s="92"/>
    </row>
    <row r="181" spans="1:12" x14ac:dyDescent="0.2">
      <c r="A181" s="25"/>
      <c r="B181" s="52" t="s">
        <v>308</v>
      </c>
      <c r="C181" s="115" t="s">
        <v>310</v>
      </c>
      <c r="D181" s="116"/>
      <c r="E181" s="117"/>
      <c r="F181" s="59">
        <v>424900</v>
      </c>
      <c r="G181" s="17">
        <f t="shared" si="7"/>
        <v>0</v>
      </c>
      <c r="H181" s="47">
        <f>SUM(H182)</f>
        <v>0</v>
      </c>
      <c r="I181" s="21">
        <f>SUM(I182)</f>
        <v>0</v>
      </c>
      <c r="J181" s="101">
        <f>SUM(J182)</f>
        <v>0</v>
      </c>
      <c r="K181" s="21">
        <f>SUM(K182)</f>
        <v>0</v>
      </c>
      <c r="L181" s="97">
        <f>SUM(L182)</f>
        <v>0</v>
      </c>
    </row>
    <row r="182" spans="1:12" x14ac:dyDescent="0.2">
      <c r="A182" s="25"/>
      <c r="B182" s="26"/>
      <c r="C182" s="71" t="s">
        <v>309</v>
      </c>
      <c r="D182" s="109" t="s">
        <v>310</v>
      </c>
      <c r="E182" s="111"/>
      <c r="F182" s="24">
        <v>424911</v>
      </c>
      <c r="G182" s="21">
        <f t="shared" si="7"/>
        <v>0</v>
      </c>
      <c r="H182" s="21"/>
      <c r="I182" s="23"/>
      <c r="J182" s="92"/>
      <c r="K182" s="23"/>
      <c r="L182" s="92"/>
    </row>
    <row r="183" spans="1:12" x14ac:dyDescent="0.2">
      <c r="A183" s="25">
        <v>5</v>
      </c>
      <c r="B183" s="115" t="s">
        <v>39</v>
      </c>
      <c r="C183" s="116"/>
      <c r="D183" s="116"/>
      <c r="E183" s="117"/>
      <c r="F183" s="24">
        <v>425000</v>
      </c>
      <c r="G183" s="17">
        <f t="shared" si="7"/>
        <v>32950999</v>
      </c>
      <c r="H183" s="18">
        <f>SUM(H184+H194)</f>
        <v>0</v>
      </c>
      <c r="I183" s="18">
        <f>SUM(I184+I194)</f>
        <v>0</v>
      </c>
      <c r="J183" s="95">
        <f>SUM(J184+J194)</f>
        <v>18732156</v>
      </c>
      <c r="K183" s="18">
        <f>SUM(K184+K194)</f>
        <v>0</v>
      </c>
      <c r="L183" s="95">
        <f>SUM(L184+L194)</f>
        <v>14218843</v>
      </c>
    </row>
    <row r="184" spans="1:12" x14ac:dyDescent="0.2">
      <c r="A184" s="25"/>
      <c r="B184" s="39" t="s">
        <v>40</v>
      </c>
      <c r="C184" s="115" t="s">
        <v>167</v>
      </c>
      <c r="D184" s="116"/>
      <c r="E184" s="117"/>
      <c r="F184" s="24">
        <v>425100</v>
      </c>
      <c r="G184" s="17">
        <f t="shared" si="7"/>
        <v>4950000</v>
      </c>
      <c r="H184" s="17">
        <f>SUM(H185:H193)</f>
        <v>0</v>
      </c>
      <c r="I184" s="17">
        <f>SUM(I185:I193)</f>
        <v>0</v>
      </c>
      <c r="J184" s="97">
        <f>SUM(J185:J193)</f>
        <v>1940000</v>
      </c>
      <c r="K184" s="17">
        <f>SUM(K185:K193)</f>
        <v>0</v>
      </c>
      <c r="L184" s="97">
        <f>SUM(L185:L193)</f>
        <v>3010000</v>
      </c>
    </row>
    <row r="185" spans="1:12" x14ac:dyDescent="0.2">
      <c r="A185" s="25"/>
      <c r="B185" s="26"/>
      <c r="C185" s="67" t="s">
        <v>99</v>
      </c>
      <c r="D185" s="109" t="s">
        <v>100</v>
      </c>
      <c r="E185" s="111"/>
      <c r="F185" s="24">
        <v>425111</v>
      </c>
      <c r="G185" s="21">
        <f t="shared" si="7"/>
        <v>40000</v>
      </c>
      <c r="H185" s="21"/>
      <c r="I185" s="21"/>
      <c r="J185" s="101">
        <v>40000</v>
      </c>
      <c r="K185" s="23"/>
      <c r="L185" s="92"/>
    </row>
    <row r="186" spans="1:12" x14ac:dyDescent="0.2">
      <c r="A186" s="25"/>
      <c r="B186" s="26"/>
      <c r="C186" s="67" t="s">
        <v>326</v>
      </c>
      <c r="D186" s="109" t="s">
        <v>113</v>
      </c>
      <c r="E186" s="111"/>
      <c r="F186" s="24">
        <v>425112</v>
      </c>
      <c r="G186" s="21">
        <f t="shared" si="7"/>
        <v>830000</v>
      </c>
      <c r="H186" s="21"/>
      <c r="I186" s="21"/>
      <c r="J186" s="101">
        <v>300000</v>
      </c>
      <c r="K186" s="23"/>
      <c r="L186" s="92">
        <f>80000+450000</f>
        <v>530000</v>
      </c>
    </row>
    <row r="187" spans="1:12" ht="13.5" customHeight="1" x14ac:dyDescent="0.2">
      <c r="A187" s="25"/>
      <c r="B187" s="26"/>
      <c r="C187" s="67" t="s">
        <v>122</v>
      </c>
      <c r="D187" s="109" t="s">
        <v>101</v>
      </c>
      <c r="E187" s="111"/>
      <c r="F187" s="24">
        <v>425113</v>
      </c>
      <c r="G187" s="21">
        <f t="shared" si="7"/>
        <v>720000</v>
      </c>
      <c r="H187" s="21"/>
      <c r="I187" s="21"/>
      <c r="J187" s="101">
        <v>300000</v>
      </c>
      <c r="K187" s="23"/>
      <c r="L187" s="92">
        <f>360000+60000</f>
        <v>420000</v>
      </c>
    </row>
    <row r="188" spans="1:12" x14ac:dyDescent="0.2">
      <c r="A188" s="25"/>
      <c r="B188" s="26"/>
      <c r="C188" s="67" t="s">
        <v>114</v>
      </c>
      <c r="D188" s="109" t="s">
        <v>421</v>
      </c>
      <c r="E188" s="111"/>
      <c r="F188" s="24">
        <v>425115</v>
      </c>
      <c r="G188" s="21">
        <f t="shared" si="7"/>
        <v>500000</v>
      </c>
      <c r="H188" s="21"/>
      <c r="I188" s="21"/>
      <c r="J188" s="101">
        <v>500000</v>
      </c>
      <c r="K188" s="23"/>
      <c r="L188" s="92"/>
    </row>
    <row r="189" spans="1:12" x14ac:dyDescent="0.2">
      <c r="A189" s="25"/>
      <c r="B189" s="26"/>
      <c r="C189" s="67" t="s">
        <v>115</v>
      </c>
      <c r="D189" s="109" t="s">
        <v>168</v>
      </c>
      <c r="E189" s="111"/>
      <c r="F189" s="24">
        <v>425116</v>
      </c>
      <c r="G189" s="21">
        <f t="shared" si="7"/>
        <v>860000</v>
      </c>
      <c r="H189" s="21"/>
      <c r="I189" s="21"/>
      <c r="J189" s="101">
        <v>500000</v>
      </c>
      <c r="K189" s="23"/>
      <c r="L189" s="92">
        <v>360000</v>
      </c>
    </row>
    <row r="190" spans="1:12" x14ac:dyDescent="0.2">
      <c r="A190" s="57"/>
      <c r="B190" s="26"/>
      <c r="C190" s="67" t="s">
        <v>116</v>
      </c>
      <c r="D190" s="109" t="s">
        <v>102</v>
      </c>
      <c r="E190" s="111"/>
      <c r="F190" s="24">
        <v>425117</v>
      </c>
      <c r="G190" s="21">
        <f t="shared" si="7"/>
        <v>1800000</v>
      </c>
      <c r="H190" s="21"/>
      <c r="I190" s="21"/>
      <c r="J190" s="101">
        <v>100000</v>
      </c>
      <c r="K190" s="23"/>
      <c r="L190" s="92">
        <v>1700000</v>
      </c>
    </row>
    <row r="191" spans="1:12" x14ac:dyDescent="0.2">
      <c r="A191" s="57"/>
      <c r="B191" s="26"/>
      <c r="C191" s="67" t="s">
        <v>340</v>
      </c>
      <c r="D191" s="109" t="s">
        <v>388</v>
      </c>
      <c r="E191" s="111"/>
      <c r="F191" s="24">
        <v>425118</v>
      </c>
      <c r="G191" s="21">
        <f t="shared" si="7"/>
        <v>50000</v>
      </c>
      <c r="H191" s="21"/>
      <c r="I191" s="21"/>
      <c r="J191" s="101">
        <v>50000</v>
      </c>
      <c r="K191" s="23"/>
      <c r="L191" s="92"/>
    </row>
    <row r="192" spans="1:12" x14ac:dyDescent="0.2">
      <c r="A192" s="57"/>
      <c r="B192" s="26"/>
      <c r="C192" s="67" t="s">
        <v>378</v>
      </c>
      <c r="D192" s="109" t="s">
        <v>422</v>
      </c>
      <c r="E192" s="111"/>
      <c r="F192" s="24">
        <v>425119</v>
      </c>
      <c r="G192" s="21">
        <f t="shared" si="7"/>
        <v>0</v>
      </c>
      <c r="H192" s="21"/>
      <c r="I192" s="21"/>
      <c r="J192" s="101"/>
      <c r="K192" s="23"/>
      <c r="L192" s="92"/>
    </row>
    <row r="193" spans="1:12" x14ac:dyDescent="0.2">
      <c r="A193" s="57"/>
      <c r="B193" s="26"/>
      <c r="C193" s="67" t="s">
        <v>387</v>
      </c>
      <c r="D193" s="109" t="s">
        <v>117</v>
      </c>
      <c r="E193" s="111"/>
      <c r="F193" s="24">
        <v>425191</v>
      </c>
      <c r="G193" s="21">
        <f t="shared" si="7"/>
        <v>150000</v>
      </c>
      <c r="H193" s="21"/>
      <c r="I193" s="21"/>
      <c r="J193" s="101">
        <v>150000</v>
      </c>
      <c r="K193" s="23"/>
      <c r="L193" s="92"/>
    </row>
    <row r="194" spans="1:12" x14ac:dyDescent="0.2">
      <c r="A194" s="25"/>
      <c r="B194" s="39" t="s">
        <v>41</v>
      </c>
      <c r="C194" s="115" t="s">
        <v>169</v>
      </c>
      <c r="D194" s="116"/>
      <c r="E194" s="117"/>
      <c r="F194" s="24">
        <v>425200</v>
      </c>
      <c r="G194" s="17">
        <f t="shared" si="7"/>
        <v>28000999</v>
      </c>
      <c r="H194" s="17">
        <f>SUM(H195:H206)</f>
        <v>0</v>
      </c>
      <c r="I194" s="17">
        <f>SUM(I195:I206)</f>
        <v>0</v>
      </c>
      <c r="J194" s="97">
        <f>SUM(J195:J206)</f>
        <v>16792156</v>
      </c>
      <c r="K194" s="17">
        <f>SUM(K195:K206)</f>
        <v>0</v>
      </c>
      <c r="L194" s="97">
        <f>SUM(L195:L206)</f>
        <v>11208843</v>
      </c>
    </row>
    <row r="195" spans="1:12" x14ac:dyDescent="0.2">
      <c r="A195" s="25"/>
      <c r="B195" s="26"/>
      <c r="C195" s="67" t="s">
        <v>103</v>
      </c>
      <c r="D195" s="109" t="s">
        <v>374</v>
      </c>
      <c r="E195" s="111"/>
      <c r="F195" s="24">
        <v>425211</v>
      </c>
      <c r="G195" s="21">
        <f t="shared" si="7"/>
        <v>1900000</v>
      </c>
      <c r="H195" s="21"/>
      <c r="I195" s="21"/>
      <c r="J195" s="92">
        <v>1750000</v>
      </c>
      <c r="K195" s="23"/>
      <c r="L195" s="92">
        <v>150000</v>
      </c>
    </row>
    <row r="196" spans="1:12" x14ac:dyDescent="0.2">
      <c r="A196" s="25"/>
      <c r="B196" s="26"/>
      <c r="C196" s="67" t="s">
        <v>105</v>
      </c>
      <c r="D196" s="109" t="s">
        <v>106</v>
      </c>
      <c r="E196" s="111"/>
      <c r="F196" s="24">
        <v>425212</v>
      </c>
      <c r="G196" s="21">
        <f t="shared" si="7"/>
        <v>2150000</v>
      </c>
      <c r="H196" s="21"/>
      <c r="I196" s="21"/>
      <c r="J196" s="92">
        <v>1250000</v>
      </c>
      <c r="K196" s="23" t="s">
        <v>337</v>
      </c>
      <c r="L196" s="92">
        <f>150000+750000</f>
        <v>900000</v>
      </c>
    </row>
    <row r="197" spans="1:12" x14ac:dyDescent="0.2">
      <c r="A197" s="25"/>
      <c r="B197" s="26"/>
      <c r="C197" s="67" t="s">
        <v>107</v>
      </c>
      <c r="D197" s="109" t="s">
        <v>499</v>
      </c>
      <c r="E197" s="111"/>
      <c r="F197" s="24">
        <v>425213</v>
      </c>
      <c r="G197" s="21">
        <f t="shared" si="7"/>
        <v>200000</v>
      </c>
      <c r="H197" s="21"/>
      <c r="I197" s="21"/>
      <c r="J197" s="92"/>
      <c r="K197" s="23"/>
      <c r="L197" s="92">
        <v>200000</v>
      </c>
    </row>
    <row r="198" spans="1:12" x14ac:dyDescent="0.2">
      <c r="A198" s="25"/>
      <c r="B198" s="26"/>
      <c r="C198" s="67" t="s">
        <v>109</v>
      </c>
      <c r="D198" s="109" t="s">
        <v>423</v>
      </c>
      <c r="E198" s="111"/>
      <c r="F198" s="24">
        <v>425219</v>
      </c>
      <c r="G198" s="21">
        <f t="shared" si="7"/>
        <v>70000</v>
      </c>
      <c r="H198" s="21"/>
      <c r="I198" s="21"/>
      <c r="J198" s="92"/>
      <c r="K198" s="23"/>
      <c r="L198" s="92">
        <v>70000</v>
      </c>
    </row>
    <row r="199" spans="1:12" x14ac:dyDescent="0.2">
      <c r="A199" s="25"/>
      <c r="B199" s="26"/>
      <c r="C199" s="67" t="s">
        <v>325</v>
      </c>
      <c r="D199" s="109" t="s">
        <v>108</v>
      </c>
      <c r="E199" s="111"/>
      <c r="F199" s="24">
        <v>425221</v>
      </c>
      <c r="G199" s="21">
        <f t="shared" si="7"/>
        <v>80000</v>
      </c>
      <c r="H199" s="21"/>
      <c r="I199" s="21"/>
      <c r="J199" s="92">
        <v>80000</v>
      </c>
      <c r="K199" s="23"/>
      <c r="L199" s="92"/>
    </row>
    <row r="200" spans="1:12" x14ac:dyDescent="0.2">
      <c r="A200" s="25"/>
      <c r="B200" s="26"/>
      <c r="C200" s="67" t="s">
        <v>112</v>
      </c>
      <c r="D200" s="109" t="s">
        <v>118</v>
      </c>
      <c r="E200" s="111"/>
      <c r="F200" s="24">
        <v>425222</v>
      </c>
      <c r="G200" s="21">
        <f t="shared" si="7"/>
        <v>490000</v>
      </c>
      <c r="H200" s="21"/>
      <c r="I200" s="21"/>
      <c r="J200" s="92">
        <v>400000</v>
      </c>
      <c r="K200" s="23"/>
      <c r="L200" s="92">
        <v>90000</v>
      </c>
    </row>
    <row r="201" spans="1:12" x14ac:dyDescent="0.2">
      <c r="A201" s="25"/>
      <c r="B201" s="26"/>
      <c r="C201" s="67" t="s">
        <v>123</v>
      </c>
      <c r="D201" s="109" t="s">
        <v>120</v>
      </c>
      <c r="E201" s="111"/>
      <c r="F201" s="24">
        <v>425223</v>
      </c>
      <c r="G201" s="21">
        <f t="shared" si="7"/>
        <v>200000</v>
      </c>
      <c r="H201" s="21"/>
      <c r="I201" s="21"/>
      <c r="J201" s="92">
        <v>200000</v>
      </c>
      <c r="K201" s="23"/>
      <c r="L201" s="92"/>
    </row>
    <row r="202" spans="1:12" x14ac:dyDescent="0.2">
      <c r="A202" s="25"/>
      <c r="B202" s="26"/>
      <c r="C202" s="67" t="s">
        <v>121</v>
      </c>
      <c r="D202" s="109" t="s">
        <v>119</v>
      </c>
      <c r="E202" s="111"/>
      <c r="F202" s="24">
        <v>425224</v>
      </c>
      <c r="G202" s="21">
        <f t="shared" si="7"/>
        <v>600000</v>
      </c>
      <c r="H202" s="21"/>
      <c r="I202" s="21"/>
      <c r="J202" s="92">
        <v>500000</v>
      </c>
      <c r="K202" s="23"/>
      <c r="L202" s="92">
        <v>100000</v>
      </c>
    </row>
    <row r="203" spans="1:12" x14ac:dyDescent="0.2">
      <c r="A203" s="25"/>
      <c r="B203" s="26"/>
      <c r="C203" s="67" t="s">
        <v>124</v>
      </c>
      <c r="D203" s="109" t="s">
        <v>110</v>
      </c>
      <c r="E203" s="111"/>
      <c r="F203" s="24">
        <v>425225</v>
      </c>
      <c r="G203" s="21">
        <f t="shared" si="7"/>
        <v>4050000</v>
      </c>
      <c r="H203" s="21"/>
      <c r="I203" s="21"/>
      <c r="J203" s="92">
        <v>881157</v>
      </c>
      <c r="K203" s="23"/>
      <c r="L203" s="92">
        <f>768843+350000+700000+1350000</f>
        <v>3168843</v>
      </c>
    </row>
    <row r="204" spans="1:12" x14ac:dyDescent="0.2">
      <c r="A204" s="25"/>
      <c r="B204" s="26"/>
      <c r="C204" s="67" t="s">
        <v>125</v>
      </c>
      <c r="D204" s="109" t="s">
        <v>111</v>
      </c>
      <c r="E204" s="111"/>
      <c r="F204" s="24">
        <v>425251</v>
      </c>
      <c r="G204" s="21">
        <f t="shared" si="7"/>
        <v>18260999</v>
      </c>
      <c r="H204" s="21"/>
      <c r="I204" s="21"/>
      <c r="J204" s="92">
        <v>11730999</v>
      </c>
      <c r="K204" s="23"/>
      <c r="L204" s="92">
        <f>50000+7830000-1350000</f>
        <v>6530000</v>
      </c>
    </row>
    <row r="205" spans="1:12" x14ac:dyDescent="0.2">
      <c r="A205" s="25"/>
      <c r="B205" s="26"/>
      <c r="C205" s="67" t="s">
        <v>379</v>
      </c>
      <c r="D205" s="109" t="s">
        <v>424</v>
      </c>
      <c r="E205" s="111"/>
      <c r="F205" s="24">
        <v>425252</v>
      </c>
      <c r="G205" s="21">
        <f t="shared" si="7"/>
        <v>0</v>
      </c>
      <c r="H205" s="21"/>
      <c r="I205" s="21"/>
      <c r="J205" s="92"/>
      <c r="K205" s="23"/>
      <c r="L205" s="92"/>
    </row>
    <row r="206" spans="1:12" x14ac:dyDescent="0.2">
      <c r="A206" s="25"/>
      <c r="B206" s="26"/>
      <c r="C206" s="67" t="s">
        <v>498</v>
      </c>
      <c r="D206" s="132" t="s">
        <v>377</v>
      </c>
      <c r="E206" s="133"/>
      <c r="F206" s="24">
        <v>425291</v>
      </c>
      <c r="G206" s="21">
        <f t="shared" si="7"/>
        <v>0</v>
      </c>
      <c r="H206" s="21"/>
      <c r="I206" s="21"/>
      <c r="J206" s="92"/>
      <c r="K206" s="23"/>
      <c r="L206" s="92"/>
    </row>
    <row r="207" spans="1:12" x14ac:dyDescent="0.2">
      <c r="A207" s="25">
        <v>6</v>
      </c>
      <c r="B207" s="115" t="s">
        <v>42</v>
      </c>
      <c r="C207" s="116"/>
      <c r="D207" s="116"/>
      <c r="E207" s="117"/>
      <c r="F207" s="24">
        <v>426000</v>
      </c>
      <c r="G207" s="17">
        <f t="shared" si="7"/>
        <v>854837592</v>
      </c>
      <c r="H207" s="18">
        <f>H208+H212+H215+H219+H221+H240+H241+H245</f>
        <v>1150000</v>
      </c>
      <c r="I207" s="18">
        <f>I208+I212+I215+I219+I221+I240+I241+I245</f>
        <v>0</v>
      </c>
      <c r="J207" s="95">
        <f>J208+J212+J215+J219+J221+J240+J241+J245</f>
        <v>793478150</v>
      </c>
      <c r="K207" s="18">
        <f>K208+K212+K215+K219+K221+K240+K241+K245</f>
        <v>0</v>
      </c>
      <c r="L207" s="95">
        <f>L208+L212+L215+L219+L221+L240+L241+L245</f>
        <v>60209442</v>
      </c>
    </row>
    <row r="208" spans="1:12" x14ac:dyDescent="0.2">
      <c r="A208" s="25"/>
      <c r="B208" s="25" t="s">
        <v>43</v>
      </c>
      <c r="C208" s="115" t="s">
        <v>205</v>
      </c>
      <c r="D208" s="116"/>
      <c r="E208" s="117"/>
      <c r="F208" s="24">
        <v>426100</v>
      </c>
      <c r="G208" s="17">
        <f t="shared" si="7"/>
        <v>8020000</v>
      </c>
      <c r="H208" s="18">
        <f>SUM(H209:H211)</f>
        <v>0</v>
      </c>
      <c r="I208" s="18">
        <f>SUM(I209:I211)</f>
        <v>0</v>
      </c>
      <c r="J208" s="95">
        <f>SUM(J209:J211)</f>
        <v>6720000</v>
      </c>
      <c r="K208" s="18">
        <f>SUM(K209:K211)</f>
        <v>0</v>
      </c>
      <c r="L208" s="95">
        <f>SUM(L209:L211)</f>
        <v>1300000</v>
      </c>
    </row>
    <row r="209" spans="1:12" x14ac:dyDescent="0.2">
      <c r="A209" s="25"/>
      <c r="B209" s="57"/>
      <c r="C209" s="40" t="s">
        <v>44</v>
      </c>
      <c r="D209" s="109" t="s">
        <v>153</v>
      </c>
      <c r="E209" s="111"/>
      <c r="F209" s="24">
        <v>426111</v>
      </c>
      <c r="G209" s="21">
        <f t="shared" ref="G209:G220" si="8">SUM(H209:L209)</f>
        <v>8000000</v>
      </c>
      <c r="H209" s="21"/>
      <c r="I209" s="23"/>
      <c r="J209" s="92">
        <v>6700000</v>
      </c>
      <c r="K209" s="23"/>
      <c r="L209" s="92">
        <f>1000000+300000</f>
        <v>1300000</v>
      </c>
    </row>
    <row r="210" spans="1:12" x14ac:dyDescent="0.2">
      <c r="A210" s="25"/>
      <c r="B210" s="57"/>
      <c r="C210" s="40" t="s">
        <v>63</v>
      </c>
      <c r="D210" s="109" t="s">
        <v>384</v>
      </c>
      <c r="E210" s="111"/>
      <c r="F210" s="24">
        <v>426123</v>
      </c>
      <c r="G210" s="21">
        <f t="shared" si="8"/>
        <v>0</v>
      </c>
      <c r="H210" s="21"/>
      <c r="I210" s="23"/>
      <c r="J210" s="92"/>
      <c r="K210" s="23"/>
      <c r="L210" s="92"/>
    </row>
    <row r="211" spans="1:12" x14ac:dyDescent="0.2">
      <c r="A211" s="25"/>
      <c r="B211" s="57"/>
      <c r="C211" s="40" t="s">
        <v>383</v>
      </c>
      <c r="D211" s="109" t="s">
        <v>98</v>
      </c>
      <c r="E211" s="111"/>
      <c r="F211" s="24">
        <v>426124</v>
      </c>
      <c r="G211" s="21">
        <f t="shared" si="8"/>
        <v>20000</v>
      </c>
      <c r="H211" s="21"/>
      <c r="I211" s="23"/>
      <c r="J211" s="92">
        <v>20000</v>
      </c>
      <c r="K211" s="23"/>
      <c r="L211" s="92"/>
    </row>
    <row r="212" spans="1:12" x14ac:dyDescent="0.2">
      <c r="A212" s="25"/>
      <c r="B212" s="25" t="s">
        <v>45</v>
      </c>
      <c r="C212" s="115" t="s">
        <v>206</v>
      </c>
      <c r="D212" s="116"/>
      <c r="E212" s="117"/>
      <c r="F212" s="24">
        <v>426300</v>
      </c>
      <c r="G212" s="17">
        <f t="shared" si="8"/>
        <v>300000</v>
      </c>
      <c r="H212" s="18">
        <f>SUM(H213+H214)</f>
        <v>0</v>
      </c>
      <c r="I212" s="18">
        <f>SUM(I213+I214)</f>
        <v>0</v>
      </c>
      <c r="J212" s="95">
        <f>SUM(J213+J214)</f>
        <v>0</v>
      </c>
      <c r="K212" s="18">
        <f>SUM(K213+K214)</f>
        <v>0</v>
      </c>
      <c r="L212" s="95">
        <f>SUM(L213+L214)</f>
        <v>300000</v>
      </c>
    </row>
    <row r="213" spans="1:12" x14ac:dyDescent="0.2">
      <c r="A213" s="25"/>
      <c r="B213" s="57"/>
      <c r="C213" s="40" t="s">
        <v>208</v>
      </c>
      <c r="D213" s="109" t="s">
        <v>207</v>
      </c>
      <c r="E213" s="111"/>
      <c r="F213" s="24">
        <v>426311</v>
      </c>
      <c r="G213" s="21">
        <f t="shared" si="8"/>
        <v>300000</v>
      </c>
      <c r="H213" s="21"/>
      <c r="I213" s="23"/>
      <c r="J213" s="92"/>
      <c r="K213" s="23"/>
      <c r="L213" s="92">
        <v>300000</v>
      </c>
    </row>
    <row r="214" spans="1:12" x14ac:dyDescent="0.2">
      <c r="A214" s="25"/>
      <c r="B214" s="57"/>
      <c r="C214" s="40" t="s">
        <v>328</v>
      </c>
      <c r="D214" s="109" t="s">
        <v>329</v>
      </c>
      <c r="E214" s="111"/>
      <c r="F214" s="24">
        <v>426312</v>
      </c>
      <c r="G214" s="21">
        <f t="shared" si="8"/>
        <v>0</v>
      </c>
      <c r="H214" s="21"/>
      <c r="I214" s="23"/>
      <c r="J214" s="92"/>
      <c r="K214" s="23"/>
      <c r="L214" s="92"/>
    </row>
    <row r="215" spans="1:12" x14ac:dyDescent="0.2">
      <c r="A215" s="25"/>
      <c r="B215" s="25" t="s">
        <v>307</v>
      </c>
      <c r="C215" s="115" t="s">
        <v>219</v>
      </c>
      <c r="D215" s="116"/>
      <c r="E215" s="117"/>
      <c r="F215" s="24">
        <v>426400</v>
      </c>
      <c r="G215" s="17">
        <f t="shared" si="8"/>
        <v>1200000</v>
      </c>
      <c r="H215" s="17">
        <f>SUM(H216:H218)</f>
        <v>0</v>
      </c>
      <c r="I215" s="17">
        <f>SUM(I216:I218)</f>
        <v>0</v>
      </c>
      <c r="J215" s="97">
        <f>SUM(J216:J218)</f>
        <v>490000</v>
      </c>
      <c r="K215" s="17">
        <f>SUM(K216:K218)</f>
        <v>0</v>
      </c>
      <c r="L215" s="97">
        <f>SUM(L216:L218)</f>
        <v>710000</v>
      </c>
    </row>
    <row r="216" spans="1:12" x14ac:dyDescent="0.2">
      <c r="A216" s="25"/>
      <c r="B216" s="25"/>
      <c r="C216" s="40" t="s">
        <v>64</v>
      </c>
      <c r="D216" s="109" t="s">
        <v>220</v>
      </c>
      <c r="E216" s="111"/>
      <c r="F216" s="24">
        <v>426413</v>
      </c>
      <c r="G216" s="21">
        <f t="shared" si="8"/>
        <v>450000</v>
      </c>
      <c r="H216" s="21"/>
      <c r="I216" s="21"/>
      <c r="J216" s="101">
        <v>90000</v>
      </c>
      <c r="K216" s="21"/>
      <c r="L216" s="101">
        <v>360000</v>
      </c>
    </row>
    <row r="217" spans="1:12" x14ac:dyDescent="0.2">
      <c r="A217" s="25"/>
      <c r="B217" s="25"/>
      <c r="C217" s="40" t="s">
        <v>65</v>
      </c>
      <c r="D217" s="109" t="s">
        <v>221</v>
      </c>
      <c r="E217" s="111"/>
      <c r="F217" s="24">
        <v>4264911</v>
      </c>
      <c r="G217" s="21">
        <f t="shared" si="8"/>
        <v>600000</v>
      </c>
      <c r="H217" s="21"/>
      <c r="I217" s="21"/>
      <c r="J217" s="101">
        <v>300000</v>
      </c>
      <c r="K217" s="21"/>
      <c r="L217" s="101">
        <v>300000</v>
      </c>
    </row>
    <row r="218" spans="1:12" x14ac:dyDescent="0.2">
      <c r="A218" s="25"/>
      <c r="B218" s="25"/>
      <c r="C218" s="40" t="s">
        <v>372</v>
      </c>
      <c r="D218" s="109" t="s">
        <v>373</v>
      </c>
      <c r="E218" s="111"/>
      <c r="F218" s="24">
        <v>4264912</v>
      </c>
      <c r="G218" s="21">
        <f t="shared" si="8"/>
        <v>150000</v>
      </c>
      <c r="H218" s="21"/>
      <c r="I218" s="21"/>
      <c r="J218" s="101">
        <v>100000</v>
      </c>
      <c r="K218" s="21"/>
      <c r="L218" s="101">
        <v>50000</v>
      </c>
    </row>
    <row r="219" spans="1:12" x14ac:dyDescent="0.2">
      <c r="A219" s="25"/>
      <c r="B219" s="39" t="s">
        <v>47</v>
      </c>
      <c r="C219" s="115" t="s">
        <v>154</v>
      </c>
      <c r="D219" s="116"/>
      <c r="E219" s="117"/>
      <c r="F219" s="24">
        <v>426500</v>
      </c>
      <c r="G219" s="17">
        <f t="shared" si="8"/>
        <v>1400000</v>
      </c>
      <c r="H219" s="17">
        <f>SUM(H220:H220)</f>
        <v>0</v>
      </c>
      <c r="I219" s="17">
        <f>SUM(I220:I220)</f>
        <v>0</v>
      </c>
      <c r="J219" s="97">
        <f>SUM(J220:J220)</f>
        <v>1400000</v>
      </c>
      <c r="K219" s="17">
        <f>SUM(K220:K220)</f>
        <v>0</v>
      </c>
      <c r="L219" s="97">
        <f>SUM(L220:L220)</f>
        <v>0</v>
      </c>
    </row>
    <row r="220" spans="1:12" x14ac:dyDescent="0.2">
      <c r="A220" s="25"/>
      <c r="B220" s="26"/>
      <c r="C220" s="40" t="s">
        <v>209</v>
      </c>
      <c r="D220" s="109" t="s">
        <v>192</v>
      </c>
      <c r="E220" s="111"/>
      <c r="F220" s="24">
        <v>426591</v>
      </c>
      <c r="G220" s="21">
        <f t="shared" si="8"/>
        <v>1400000</v>
      </c>
      <c r="H220" s="21"/>
      <c r="I220" s="21"/>
      <c r="J220" s="101">
        <v>1400000</v>
      </c>
      <c r="K220" s="23"/>
      <c r="L220" s="92"/>
    </row>
    <row r="221" spans="1:12" x14ac:dyDescent="0.2">
      <c r="A221" s="25"/>
      <c r="B221" s="25" t="s">
        <v>49</v>
      </c>
      <c r="C221" s="115" t="s">
        <v>289</v>
      </c>
      <c r="D221" s="116"/>
      <c r="E221" s="117"/>
      <c r="F221" s="24">
        <v>426700</v>
      </c>
      <c r="G221" s="17">
        <f>SUM(H221:L221)</f>
        <v>798973315</v>
      </c>
      <c r="H221" s="18">
        <f>SUM(H222:H226)+H233</f>
        <v>1150000</v>
      </c>
      <c r="I221" s="18">
        <f>SUM(I222:I226)+I233</f>
        <v>0</v>
      </c>
      <c r="J221" s="95">
        <f>SUM(J222:J226)+J233+J232+J239</f>
        <v>743074471</v>
      </c>
      <c r="K221" s="18">
        <f>SUM(K222:K226)+K233</f>
        <v>0</v>
      </c>
      <c r="L221" s="95">
        <f>SUM(L222:L226)+L233</f>
        <v>54748844</v>
      </c>
    </row>
    <row r="222" spans="1:12" x14ac:dyDescent="0.2">
      <c r="A222" s="25"/>
      <c r="B222" s="57"/>
      <c r="C222" s="72" t="s">
        <v>194</v>
      </c>
      <c r="D222" s="115" t="s">
        <v>290</v>
      </c>
      <c r="E222" s="117"/>
      <c r="F222" s="24">
        <v>426711</v>
      </c>
      <c r="G222" s="17">
        <f t="shared" ref="G222:G248" si="9">SUM(H222:L222)</f>
        <v>11046928</v>
      </c>
      <c r="H222" s="17"/>
      <c r="I222" s="18"/>
      <c r="J222" s="95">
        <f>7521000+3525928</f>
        <v>11046928</v>
      </c>
      <c r="K222" s="18"/>
      <c r="L222" s="92"/>
    </row>
    <row r="223" spans="1:12" x14ac:dyDescent="0.2">
      <c r="A223" s="25"/>
      <c r="B223" s="57"/>
      <c r="C223" s="72" t="s">
        <v>196</v>
      </c>
      <c r="D223" s="115" t="s">
        <v>291</v>
      </c>
      <c r="E223" s="117"/>
      <c r="F223" s="24">
        <v>426711</v>
      </c>
      <c r="G223" s="17">
        <f t="shared" si="9"/>
        <v>129994837</v>
      </c>
      <c r="H223" s="32">
        <v>650000</v>
      </c>
      <c r="I223" s="18"/>
      <c r="J223" s="95">
        <f>107050000+21394837-29283705</f>
        <v>99161132</v>
      </c>
      <c r="K223" s="18"/>
      <c r="L223" s="98">
        <f>900000+29283705</f>
        <v>30183705</v>
      </c>
    </row>
    <row r="224" spans="1:12" x14ac:dyDescent="0.2">
      <c r="A224" s="25"/>
      <c r="B224" s="57"/>
      <c r="C224" s="72" t="s">
        <v>210</v>
      </c>
      <c r="D224" s="115" t="s">
        <v>470</v>
      </c>
      <c r="E224" s="117"/>
      <c r="F224" s="24">
        <v>426721</v>
      </c>
      <c r="G224" s="17">
        <f t="shared" si="9"/>
        <v>129495245</v>
      </c>
      <c r="H224" s="32"/>
      <c r="I224" s="18"/>
      <c r="J224" s="95">
        <f>114872000+14623245</f>
        <v>129495245</v>
      </c>
      <c r="K224" s="18"/>
      <c r="L224" s="98"/>
    </row>
    <row r="225" spans="1:12" x14ac:dyDescent="0.2">
      <c r="A225" s="25"/>
      <c r="B225" s="57"/>
      <c r="C225" s="72" t="s">
        <v>211</v>
      </c>
      <c r="D225" s="115" t="s">
        <v>425</v>
      </c>
      <c r="E225" s="117"/>
      <c r="F225" s="24">
        <v>426711</v>
      </c>
      <c r="G225" s="17">
        <f t="shared" si="9"/>
        <v>112849139</v>
      </c>
      <c r="H225" s="17"/>
      <c r="I225" s="17"/>
      <c r="J225" s="97">
        <f>103045000+9654139</f>
        <v>112699139</v>
      </c>
      <c r="K225" s="17"/>
      <c r="L225" s="92">
        <v>150000</v>
      </c>
    </row>
    <row r="226" spans="1:12" x14ac:dyDescent="0.2">
      <c r="A226" s="25"/>
      <c r="B226" s="57"/>
      <c r="C226" s="73" t="s">
        <v>212</v>
      </c>
      <c r="D226" s="115" t="s">
        <v>177</v>
      </c>
      <c r="E226" s="117"/>
      <c r="F226" s="24">
        <v>426751</v>
      </c>
      <c r="G226" s="17">
        <f t="shared" si="9"/>
        <v>298765174</v>
      </c>
      <c r="H226" s="17">
        <f>SUM(H227:H231)</f>
        <v>500000</v>
      </c>
      <c r="I226" s="17">
        <f>SUM(I227:I231)</f>
        <v>0</v>
      </c>
      <c r="J226" s="97">
        <f>SUM(J227:J231)</f>
        <v>297915049</v>
      </c>
      <c r="K226" s="17">
        <f>SUM(K227:K231)</f>
        <v>0</v>
      </c>
      <c r="L226" s="97">
        <f>SUM(L227:L231)</f>
        <v>350125</v>
      </c>
    </row>
    <row r="227" spans="1:12" x14ac:dyDescent="0.2">
      <c r="A227" s="25"/>
      <c r="B227" s="57"/>
      <c r="C227" s="73"/>
      <c r="D227" s="73" t="s">
        <v>213</v>
      </c>
      <c r="E227" s="74" t="s">
        <v>426</v>
      </c>
      <c r="F227" s="24">
        <v>426751</v>
      </c>
      <c r="G227" s="17">
        <f t="shared" si="9"/>
        <v>134519173</v>
      </c>
      <c r="H227" s="21">
        <v>500000</v>
      </c>
      <c r="I227" s="17"/>
      <c r="J227" s="97">
        <f>133167000+812173</f>
        <v>133979173</v>
      </c>
      <c r="K227" s="17"/>
      <c r="L227" s="97">
        <v>40000</v>
      </c>
    </row>
    <row r="228" spans="1:12" x14ac:dyDescent="0.2">
      <c r="A228" s="25"/>
      <c r="B228" s="57"/>
      <c r="C228" s="73"/>
      <c r="D228" s="73" t="s">
        <v>214</v>
      </c>
      <c r="E228" s="74" t="s">
        <v>427</v>
      </c>
      <c r="F228" s="24">
        <v>426751</v>
      </c>
      <c r="G228" s="17">
        <f t="shared" si="9"/>
        <v>70219924</v>
      </c>
      <c r="H228" s="17"/>
      <c r="I228" s="17"/>
      <c r="J228" s="97">
        <f>61635000+8534924</f>
        <v>70169924</v>
      </c>
      <c r="K228" s="17"/>
      <c r="L228" s="97">
        <v>50000</v>
      </c>
    </row>
    <row r="229" spans="1:12" x14ac:dyDescent="0.2">
      <c r="A229" s="25"/>
      <c r="B229" s="57"/>
      <c r="C229" s="73"/>
      <c r="D229" s="73" t="s">
        <v>368</v>
      </c>
      <c r="E229" s="74" t="s">
        <v>428</v>
      </c>
      <c r="F229" s="24">
        <v>426751</v>
      </c>
      <c r="G229" s="17">
        <f t="shared" si="9"/>
        <v>28472046</v>
      </c>
      <c r="H229" s="17"/>
      <c r="I229" s="17"/>
      <c r="J229" s="97">
        <f>22936000+5536046</f>
        <v>28472046</v>
      </c>
      <c r="K229" s="17"/>
      <c r="L229" s="107"/>
    </row>
    <row r="230" spans="1:12" x14ac:dyDescent="0.2">
      <c r="A230" s="25"/>
      <c r="B230" s="57"/>
      <c r="C230" s="73"/>
      <c r="D230" s="73" t="s">
        <v>215</v>
      </c>
      <c r="E230" s="74" t="s">
        <v>48</v>
      </c>
      <c r="F230" s="24">
        <v>426751</v>
      </c>
      <c r="G230" s="17">
        <f t="shared" si="9"/>
        <v>60197031</v>
      </c>
      <c r="H230" s="17"/>
      <c r="I230" s="17"/>
      <c r="J230" s="97">
        <f>52535000+7662031</f>
        <v>60197031</v>
      </c>
      <c r="K230" s="17"/>
      <c r="L230" s="107"/>
    </row>
    <row r="231" spans="1:12" x14ac:dyDescent="0.2">
      <c r="A231" s="25"/>
      <c r="B231" s="57"/>
      <c r="C231" s="73"/>
      <c r="D231" s="73" t="s">
        <v>474</v>
      </c>
      <c r="E231" s="74" t="s">
        <v>170</v>
      </c>
      <c r="F231" s="24">
        <v>426751</v>
      </c>
      <c r="G231" s="17">
        <f t="shared" si="9"/>
        <v>5357000</v>
      </c>
      <c r="H231" s="17"/>
      <c r="I231" s="17"/>
      <c r="J231" s="97">
        <f>5357000-260125</f>
        <v>5096875</v>
      </c>
      <c r="K231" s="17"/>
      <c r="L231" s="97">
        <v>260125</v>
      </c>
    </row>
    <row r="232" spans="1:12" x14ac:dyDescent="0.2">
      <c r="A232" s="25"/>
      <c r="B232" s="57"/>
      <c r="C232" s="73" t="s">
        <v>472</v>
      </c>
      <c r="D232" s="112" t="s">
        <v>471</v>
      </c>
      <c r="E232" s="114"/>
      <c r="F232" s="24">
        <v>426751</v>
      </c>
      <c r="G232" s="17">
        <f t="shared" si="9"/>
        <v>8988992</v>
      </c>
      <c r="H232" s="17"/>
      <c r="I232" s="17"/>
      <c r="J232" s="97">
        <f>7500000+1488992</f>
        <v>8988992</v>
      </c>
      <c r="K232" s="17"/>
      <c r="L232" s="97"/>
    </row>
    <row r="233" spans="1:12" x14ac:dyDescent="0.2">
      <c r="A233" s="25"/>
      <c r="B233" s="25"/>
      <c r="C233" s="72" t="s">
        <v>473</v>
      </c>
      <c r="D233" s="115" t="s">
        <v>46</v>
      </c>
      <c r="E233" s="117"/>
      <c r="F233" s="24">
        <v>426700</v>
      </c>
      <c r="G233" s="17">
        <f t="shared" si="9"/>
        <v>103833000</v>
      </c>
      <c r="H233" s="17">
        <f>SUM(H234:H237)</f>
        <v>0</v>
      </c>
      <c r="I233" s="17">
        <f>SUM(I234:I237)</f>
        <v>0</v>
      </c>
      <c r="J233" s="97">
        <f>SUM(J234:J238)</f>
        <v>79767986</v>
      </c>
      <c r="K233" s="17">
        <f>SUM(K234:K237)</f>
        <v>0</v>
      </c>
      <c r="L233" s="97">
        <f>SUM(L234:L237)</f>
        <v>24065014</v>
      </c>
    </row>
    <row r="234" spans="1:12" x14ac:dyDescent="0.2">
      <c r="A234" s="25"/>
      <c r="B234" s="57"/>
      <c r="C234" s="40"/>
      <c r="D234" s="72" t="s">
        <v>475</v>
      </c>
      <c r="E234" s="74" t="s">
        <v>429</v>
      </c>
      <c r="F234" s="24">
        <v>426761</v>
      </c>
      <c r="G234" s="17">
        <f t="shared" si="9"/>
        <v>87413000</v>
      </c>
      <c r="H234" s="17"/>
      <c r="I234" s="18"/>
      <c r="J234" s="95">
        <f>87413000-2404375</f>
        <v>85008625</v>
      </c>
      <c r="K234" s="18"/>
      <c r="L234" s="92">
        <v>2404375</v>
      </c>
    </row>
    <row r="235" spans="1:12" s="49" customFormat="1" x14ac:dyDescent="0.2">
      <c r="A235" s="75"/>
      <c r="B235" s="75"/>
      <c r="C235" s="76"/>
      <c r="D235" s="76" t="s">
        <v>476</v>
      </c>
      <c r="E235" s="77" t="s">
        <v>174</v>
      </c>
      <c r="F235" s="46">
        <v>426761</v>
      </c>
      <c r="G235" s="47">
        <f t="shared" si="9"/>
        <v>8116000</v>
      </c>
      <c r="H235" s="47"/>
      <c r="I235" s="47"/>
      <c r="J235" s="99">
        <f>8116000-19080655</f>
        <v>-10964655</v>
      </c>
      <c r="K235" s="48"/>
      <c r="L235" s="92">
        <v>19080655</v>
      </c>
    </row>
    <row r="236" spans="1:12" x14ac:dyDescent="0.2">
      <c r="A236" s="25"/>
      <c r="B236" s="57"/>
      <c r="C236" s="40"/>
      <c r="D236" s="72" t="s">
        <v>477</v>
      </c>
      <c r="E236" s="74" t="s">
        <v>176</v>
      </c>
      <c r="F236" s="24">
        <v>426761</v>
      </c>
      <c r="G236" s="17">
        <f t="shared" si="9"/>
        <v>2647000</v>
      </c>
      <c r="H236" s="17"/>
      <c r="I236" s="18"/>
      <c r="J236" s="95">
        <f>2647000-316825</f>
        <v>2330175</v>
      </c>
      <c r="K236" s="18"/>
      <c r="L236" s="92">
        <v>316825</v>
      </c>
    </row>
    <row r="237" spans="1:12" x14ac:dyDescent="0.2">
      <c r="A237" s="25"/>
      <c r="B237" s="57"/>
      <c r="C237" s="40"/>
      <c r="D237" s="72" t="s">
        <v>478</v>
      </c>
      <c r="E237" s="74" t="s">
        <v>175</v>
      </c>
      <c r="F237" s="24">
        <v>426791</v>
      </c>
      <c r="G237" s="17">
        <f t="shared" si="9"/>
        <v>4770000</v>
      </c>
      <c r="H237" s="17"/>
      <c r="I237" s="17"/>
      <c r="J237" s="95">
        <f>4770000-2263159</f>
        <v>2506841</v>
      </c>
      <c r="K237" s="18"/>
      <c r="L237" s="92">
        <v>2263159</v>
      </c>
    </row>
    <row r="238" spans="1:12" x14ac:dyDescent="0.2">
      <c r="A238" s="25"/>
      <c r="B238" s="57"/>
      <c r="C238" s="40"/>
      <c r="D238" s="90" t="s">
        <v>488</v>
      </c>
      <c r="E238" s="74" t="s">
        <v>489</v>
      </c>
      <c r="F238" s="24">
        <v>426791</v>
      </c>
      <c r="G238" s="17">
        <f t="shared" si="9"/>
        <v>887000</v>
      </c>
      <c r="H238" s="17"/>
      <c r="I238" s="17"/>
      <c r="J238" s="95">
        <v>887000</v>
      </c>
      <c r="K238" s="18"/>
      <c r="L238" s="92"/>
    </row>
    <row r="239" spans="1:12" x14ac:dyDescent="0.2">
      <c r="A239" s="25"/>
      <c r="B239" s="57"/>
      <c r="C239" s="91" t="s">
        <v>494</v>
      </c>
      <c r="D239" s="115" t="s">
        <v>495</v>
      </c>
      <c r="E239" s="117"/>
      <c r="F239" s="24">
        <v>426751</v>
      </c>
      <c r="G239" s="17">
        <f t="shared" si="9"/>
        <v>4000000</v>
      </c>
      <c r="H239" s="17"/>
      <c r="I239" s="17"/>
      <c r="J239" s="95">
        <v>4000000</v>
      </c>
      <c r="K239" s="18"/>
      <c r="L239" s="92"/>
    </row>
    <row r="240" spans="1:12" x14ac:dyDescent="0.2">
      <c r="A240" s="25"/>
      <c r="B240" s="25" t="s">
        <v>199</v>
      </c>
      <c r="C240" s="115" t="s">
        <v>198</v>
      </c>
      <c r="D240" s="116"/>
      <c r="E240" s="117"/>
      <c r="F240" s="24">
        <v>426791</v>
      </c>
      <c r="G240" s="17">
        <f t="shared" si="9"/>
        <v>5600000</v>
      </c>
      <c r="H240" s="17"/>
      <c r="I240" s="17"/>
      <c r="J240" s="95">
        <v>5600000</v>
      </c>
      <c r="K240" s="18"/>
      <c r="L240" s="92"/>
    </row>
    <row r="241" spans="1:12" x14ac:dyDescent="0.2">
      <c r="A241" s="25"/>
      <c r="B241" s="39" t="s">
        <v>200</v>
      </c>
      <c r="C241" s="115" t="s">
        <v>193</v>
      </c>
      <c r="D241" s="116"/>
      <c r="E241" s="117"/>
      <c r="F241" s="24">
        <v>426800</v>
      </c>
      <c r="G241" s="17">
        <f t="shared" si="9"/>
        <v>37404277</v>
      </c>
      <c r="H241" s="18">
        <f>SUM(H242:H244)</f>
        <v>0</v>
      </c>
      <c r="I241" s="18">
        <f>SUM(I242:I244)</f>
        <v>0</v>
      </c>
      <c r="J241" s="95">
        <f>SUM(J242:J244)</f>
        <v>35404277</v>
      </c>
      <c r="K241" s="18">
        <f>SUM(K242:K244)</f>
        <v>0</v>
      </c>
      <c r="L241" s="95">
        <f>SUM(L242:L244)</f>
        <v>2000000</v>
      </c>
    </row>
    <row r="242" spans="1:12" x14ac:dyDescent="0.2">
      <c r="A242" s="25"/>
      <c r="B242" s="39"/>
      <c r="C242" s="40" t="s">
        <v>202</v>
      </c>
      <c r="D242" s="109" t="s">
        <v>197</v>
      </c>
      <c r="E242" s="111"/>
      <c r="F242" s="24">
        <v>426811</v>
      </c>
      <c r="G242" s="21">
        <f t="shared" si="9"/>
        <v>8500000</v>
      </c>
      <c r="H242" s="17"/>
      <c r="I242" s="18"/>
      <c r="J242" s="92">
        <v>6500000</v>
      </c>
      <c r="K242" s="23"/>
      <c r="L242" s="92">
        <v>2000000</v>
      </c>
    </row>
    <row r="243" spans="1:12" x14ac:dyDescent="0.2">
      <c r="A243" s="25"/>
      <c r="B243" s="39"/>
      <c r="C243" s="40" t="s">
        <v>203</v>
      </c>
      <c r="D243" s="109" t="s">
        <v>386</v>
      </c>
      <c r="E243" s="111"/>
      <c r="F243" s="24">
        <v>426812</v>
      </c>
      <c r="G243" s="21">
        <f t="shared" si="9"/>
        <v>1000</v>
      </c>
      <c r="H243" s="17"/>
      <c r="I243" s="18"/>
      <c r="J243" s="92">
        <v>1000</v>
      </c>
      <c r="K243" s="23"/>
      <c r="L243" s="92"/>
    </row>
    <row r="244" spans="1:12" x14ac:dyDescent="0.2">
      <c r="A244" s="25"/>
      <c r="B244" s="39"/>
      <c r="C244" s="40" t="s">
        <v>385</v>
      </c>
      <c r="D244" s="109" t="s">
        <v>195</v>
      </c>
      <c r="E244" s="111"/>
      <c r="F244" s="24">
        <v>426823</v>
      </c>
      <c r="G244" s="21">
        <f t="shared" si="9"/>
        <v>28903277</v>
      </c>
      <c r="H244" s="17"/>
      <c r="I244" s="18"/>
      <c r="J244" s="92">
        <f>24473000+4430277</f>
        <v>28903277</v>
      </c>
      <c r="K244" s="18"/>
      <c r="L244" s="92"/>
    </row>
    <row r="245" spans="1:12" x14ac:dyDescent="0.2">
      <c r="A245" s="25"/>
      <c r="B245" s="39" t="s">
        <v>216</v>
      </c>
      <c r="C245" s="115" t="s">
        <v>201</v>
      </c>
      <c r="D245" s="116"/>
      <c r="E245" s="117"/>
      <c r="F245" s="24">
        <v>426900</v>
      </c>
      <c r="G245" s="17">
        <f t="shared" si="9"/>
        <v>1940000</v>
      </c>
      <c r="H245" s="18">
        <f>SUM(H246:H248)</f>
        <v>0</v>
      </c>
      <c r="I245" s="18">
        <f>SUM(I246:I248)</f>
        <v>0</v>
      </c>
      <c r="J245" s="95">
        <f>SUM(J246:J248)</f>
        <v>789402</v>
      </c>
      <c r="K245" s="18">
        <f>SUM(K246:K248)</f>
        <v>0</v>
      </c>
      <c r="L245" s="95">
        <f>SUM(L246:L248)</f>
        <v>1150598</v>
      </c>
    </row>
    <row r="246" spans="1:12" x14ac:dyDescent="0.2">
      <c r="A246" s="25"/>
      <c r="B246" s="39"/>
      <c r="C246" s="78" t="s">
        <v>217</v>
      </c>
      <c r="D246" s="109" t="s">
        <v>155</v>
      </c>
      <c r="E246" s="111"/>
      <c r="F246" s="24">
        <v>426911</v>
      </c>
      <c r="G246" s="21">
        <f t="shared" si="9"/>
        <v>230000</v>
      </c>
      <c r="H246" s="17"/>
      <c r="I246" s="18"/>
      <c r="J246" s="92">
        <v>200000</v>
      </c>
      <c r="K246" s="18"/>
      <c r="L246" s="92">
        <v>30000</v>
      </c>
    </row>
    <row r="247" spans="1:12" x14ac:dyDescent="0.2">
      <c r="A247" s="57"/>
      <c r="B247" s="26"/>
      <c r="C247" s="78" t="s">
        <v>218</v>
      </c>
      <c r="D247" s="109" t="s">
        <v>204</v>
      </c>
      <c r="E247" s="111"/>
      <c r="F247" s="24">
        <v>426913</v>
      </c>
      <c r="G247" s="21">
        <f t="shared" si="9"/>
        <v>1700000</v>
      </c>
      <c r="H247" s="21"/>
      <c r="I247" s="23"/>
      <c r="J247" s="92">
        <v>589402</v>
      </c>
      <c r="K247" s="23"/>
      <c r="L247" s="92">
        <f>340000+410598+60000+300000</f>
        <v>1110598</v>
      </c>
    </row>
    <row r="248" spans="1:12" x14ac:dyDescent="0.2">
      <c r="A248" s="25"/>
      <c r="B248" s="39"/>
      <c r="C248" s="40" t="s">
        <v>319</v>
      </c>
      <c r="D248" s="109" t="s">
        <v>320</v>
      </c>
      <c r="E248" s="111"/>
      <c r="F248" s="24">
        <v>426919</v>
      </c>
      <c r="G248" s="21">
        <f t="shared" si="9"/>
        <v>10000</v>
      </c>
      <c r="H248" s="21"/>
      <c r="I248" s="18"/>
      <c r="J248" s="92"/>
      <c r="K248" s="23"/>
      <c r="L248" s="92">
        <v>10000</v>
      </c>
    </row>
    <row r="249" spans="1:12" x14ac:dyDescent="0.2">
      <c r="A249" s="16">
        <v>7</v>
      </c>
      <c r="B249" s="128" t="s">
        <v>294</v>
      </c>
      <c r="C249" s="129"/>
      <c r="D249" s="129"/>
      <c r="E249" s="130"/>
      <c r="F249" s="24">
        <v>430000</v>
      </c>
      <c r="G249" s="18">
        <f>SUM(H249:L249)</f>
        <v>4000000</v>
      </c>
      <c r="H249" s="18">
        <f>SUM(H250:H253)</f>
        <v>0</v>
      </c>
      <c r="I249" s="18">
        <f>SUM(I250:I253)</f>
        <v>0</v>
      </c>
      <c r="J249" s="95">
        <f>SUM(J250:J253)</f>
        <v>0</v>
      </c>
      <c r="K249" s="18">
        <f>SUM(K250:K253)</f>
        <v>0</v>
      </c>
      <c r="L249" s="95">
        <f>SUM(L250:L253)</f>
        <v>4000000</v>
      </c>
    </row>
    <row r="250" spans="1:12" x14ac:dyDescent="0.2">
      <c r="A250" s="79"/>
      <c r="B250" s="26" t="s">
        <v>81</v>
      </c>
      <c r="C250" s="109" t="s">
        <v>295</v>
      </c>
      <c r="D250" s="110"/>
      <c r="E250" s="111"/>
      <c r="F250" s="24">
        <v>431100</v>
      </c>
      <c r="G250" s="23">
        <f>SUM(H250:L250)</f>
        <v>970000</v>
      </c>
      <c r="H250" s="23"/>
      <c r="I250" s="23"/>
      <c r="J250" s="92"/>
      <c r="K250" s="23"/>
      <c r="L250" s="92">
        <v>970000</v>
      </c>
    </row>
    <row r="251" spans="1:12" x14ac:dyDescent="0.2">
      <c r="A251" s="39"/>
      <c r="B251" s="26" t="s">
        <v>141</v>
      </c>
      <c r="C251" s="109" t="s">
        <v>296</v>
      </c>
      <c r="D251" s="110"/>
      <c r="E251" s="111"/>
      <c r="F251" s="24">
        <v>431200</v>
      </c>
      <c r="G251" s="23">
        <f>SUM(H251:L251)</f>
        <v>3000000</v>
      </c>
      <c r="H251" s="23"/>
      <c r="I251" s="23"/>
      <c r="J251" s="92"/>
      <c r="K251" s="23"/>
      <c r="L251" s="92">
        <v>3000000</v>
      </c>
    </row>
    <row r="252" spans="1:12" x14ac:dyDescent="0.2">
      <c r="A252" s="39"/>
      <c r="B252" s="26" t="s">
        <v>142</v>
      </c>
      <c r="C252" s="109" t="s">
        <v>298</v>
      </c>
      <c r="D252" s="110"/>
      <c r="E252" s="111"/>
      <c r="F252" s="24">
        <v>431300</v>
      </c>
      <c r="G252" s="23">
        <f>SUM(H252:L252)</f>
        <v>0</v>
      </c>
      <c r="H252" s="23"/>
      <c r="I252" s="23"/>
      <c r="J252" s="92"/>
      <c r="K252" s="23"/>
      <c r="L252" s="92"/>
    </row>
    <row r="253" spans="1:12" x14ac:dyDescent="0.2">
      <c r="A253" s="39"/>
      <c r="B253" s="26" t="s">
        <v>143</v>
      </c>
      <c r="C253" s="109" t="s">
        <v>297</v>
      </c>
      <c r="D253" s="110"/>
      <c r="E253" s="111"/>
      <c r="F253" s="24">
        <v>435100</v>
      </c>
      <c r="G253" s="23">
        <f>SUM(H253:L253)</f>
        <v>30000</v>
      </c>
      <c r="H253" s="23"/>
      <c r="I253" s="23"/>
      <c r="J253" s="92"/>
      <c r="K253" s="23"/>
      <c r="L253" s="92">
        <v>30000</v>
      </c>
    </row>
    <row r="254" spans="1:12" x14ac:dyDescent="0.2">
      <c r="A254" s="16">
        <v>8</v>
      </c>
      <c r="B254" s="128" t="s">
        <v>303</v>
      </c>
      <c r="C254" s="129"/>
      <c r="D254" s="129"/>
      <c r="E254" s="130"/>
      <c r="F254" s="24">
        <v>440000</v>
      </c>
      <c r="G254" s="18">
        <f t="shared" ref="G254:G267" si="10">SUM(H254:L254)</f>
        <v>0</v>
      </c>
      <c r="H254" s="18">
        <f>SUM(H255:H256)</f>
        <v>0</v>
      </c>
      <c r="I254" s="18">
        <f>SUM(I255:I256)</f>
        <v>0</v>
      </c>
      <c r="J254" s="95">
        <f>SUM(J255:J256)</f>
        <v>0</v>
      </c>
      <c r="K254" s="18">
        <f>SUM(K255:K256)</f>
        <v>0</v>
      </c>
      <c r="L254" s="95">
        <f>SUM(L255:L256)</f>
        <v>0</v>
      </c>
    </row>
    <row r="255" spans="1:12" x14ac:dyDescent="0.2">
      <c r="A255" s="51"/>
      <c r="B255" s="26" t="s">
        <v>144</v>
      </c>
      <c r="C255" s="109" t="s">
        <v>304</v>
      </c>
      <c r="D255" s="110"/>
      <c r="E255" s="111"/>
      <c r="F255" s="24">
        <v>441000</v>
      </c>
      <c r="G255" s="23">
        <f t="shared" si="10"/>
        <v>0</v>
      </c>
      <c r="H255" s="23"/>
      <c r="I255" s="23"/>
      <c r="J255" s="92"/>
      <c r="K255" s="23"/>
      <c r="L255" s="92"/>
    </row>
    <row r="256" spans="1:12" x14ac:dyDescent="0.2">
      <c r="A256" s="39"/>
      <c r="B256" s="26" t="s">
        <v>145</v>
      </c>
      <c r="C256" s="109" t="s">
        <v>305</v>
      </c>
      <c r="D256" s="110"/>
      <c r="E256" s="111"/>
      <c r="F256" s="24">
        <v>442000</v>
      </c>
      <c r="G256" s="23">
        <f t="shared" si="10"/>
        <v>0</v>
      </c>
      <c r="H256" s="23"/>
      <c r="I256" s="23"/>
      <c r="J256" s="92"/>
      <c r="K256" s="23"/>
      <c r="L256" s="92"/>
    </row>
    <row r="257" spans="1:12" x14ac:dyDescent="0.2">
      <c r="A257" s="16">
        <v>9</v>
      </c>
      <c r="B257" s="128" t="s">
        <v>299</v>
      </c>
      <c r="C257" s="129"/>
      <c r="D257" s="129"/>
      <c r="E257" s="130"/>
      <c r="F257" s="24">
        <v>465100</v>
      </c>
      <c r="G257" s="18">
        <f t="shared" si="10"/>
        <v>0</v>
      </c>
      <c r="H257" s="18">
        <f>SUM(H258)</f>
        <v>0</v>
      </c>
      <c r="I257" s="18">
        <f>SUM(I258)</f>
        <v>0</v>
      </c>
      <c r="J257" s="95">
        <f>SUM(J258)</f>
        <v>0</v>
      </c>
      <c r="K257" s="18">
        <f>SUM(K258)</f>
        <v>0</v>
      </c>
      <c r="L257" s="95">
        <f>SUM(L258)</f>
        <v>0</v>
      </c>
    </row>
    <row r="258" spans="1:12" x14ac:dyDescent="0.2">
      <c r="A258" s="39"/>
      <c r="B258" s="26" t="s">
        <v>146</v>
      </c>
      <c r="C258" s="109" t="s">
        <v>300</v>
      </c>
      <c r="D258" s="110"/>
      <c r="E258" s="111"/>
      <c r="F258" s="24">
        <v>465112</v>
      </c>
      <c r="G258" s="23">
        <f t="shared" si="10"/>
        <v>0</v>
      </c>
      <c r="H258" s="23"/>
      <c r="I258" s="23"/>
      <c r="J258" s="92">
        <v>0</v>
      </c>
      <c r="K258" s="23"/>
      <c r="L258" s="92"/>
    </row>
    <row r="259" spans="1:12" x14ac:dyDescent="0.2">
      <c r="A259" s="39">
        <v>10</v>
      </c>
      <c r="B259" s="115" t="s">
        <v>301</v>
      </c>
      <c r="C259" s="116"/>
      <c r="D259" s="116"/>
      <c r="E259" s="117"/>
      <c r="F259" s="24">
        <v>482000</v>
      </c>
      <c r="G259" s="18">
        <f t="shared" si="10"/>
        <v>1800000</v>
      </c>
      <c r="H259" s="18">
        <f>SUM(H260:H262)</f>
        <v>0</v>
      </c>
      <c r="I259" s="18">
        <f>SUM(I260:I262)</f>
        <v>0</v>
      </c>
      <c r="J259" s="95">
        <f>SUM(J260:J262)</f>
        <v>250000</v>
      </c>
      <c r="K259" s="18">
        <f>SUM(K260:K262)</f>
        <v>0</v>
      </c>
      <c r="L259" s="95">
        <f>SUM(L260:L263)</f>
        <v>1550000</v>
      </c>
    </row>
    <row r="260" spans="1:12" ht="13.5" customHeight="1" x14ac:dyDescent="0.2">
      <c r="A260" s="51"/>
      <c r="B260" s="26" t="s">
        <v>147</v>
      </c>
      <c r="C260" s="109" t="s">
        <v>171</v>
      </c>
      <c r="D260" s="110"/>
      <c r="E260" s="111"/>
      <c r="F260" s="24">
        <v>482100</v>
      </c>
      <c r="G260" s="23">
        <f t="shared" si="10"/>
        <v>950000</v>
      </c>
      <c r="H260" s="23"/>
      <c r="I260" s="23"/>
      <c r="J260" s="92">
        <v>250000</v>
      </c>
      <c r="K260" s="23"/>
      <c r="L260" s="92">
        <v>700000</v>
      </c>
    </row>
    <row r="261" spans="1:12" x14ac:dyDescent="0.2">
      <c r="A261" s="39"/>
      <c r="B261" s="26" t="s">
        <v>148</v>
      </c>
      <c r="C261" s="109" t="s">
        <v>222</v>
      </c>
      <c r="D261" s="110"/>
      <c r="E261" s="111"/>
      <c r="F261" s="24">
        <v>482200</v>
      </c>
      <c r="G261" s="23">
        <f t="shared" si="10"/>
        <v>50000</v>
      </c>
      <c r="H261" s="21"/>
      <c r="I261" s="23"/>
      <c r="J261" s="92"/>
      <c r="K261" s="23"/>
      <c r="L261" s="92">
        <v>50000</v>
      </c>
    </row>
    <row r="262" spans="1:12" x14ac:dyDescent="0.2">
      <c r="A262" s="39"/>
      <c r="B262" s="26" t="s">
        <v>149</v>
      </c>
      <c r="C262" s="109" t="s">
        <v>302</v>
      </c>
      <c r="D262" s="110"/>
      <c r="E262" s="111"/>
      <c r="F262" s="24">
        <v>482300</v>
      </c>
      <c r="G262" s="23">
        <f t="shared" si="10"/>
        <v>800000</v>
      </c>
      <c r="H262" s="23"/>
      <c r="I262" s="23"/>
      <c r="J262" s="92"/>
      <c r="K262" s="23"/>
      <c r="L262" s="92">
        <v>800000</v>
      </c>
    </row>
    <row r="263" spans="1:12" x14ac:dyDescent="0.2">
      <c r="A263" s="39"/>
      <c r="B263" s="26" t="s">
        <v>462</v>
      </c>
      <c r="C263" s="109" t="s">
        <v>463</v>
      </c>
      <c r="D263" s="110"/>
      <c r="E263" s="111"/>
      <c r="F263" s="24">
        <v>482312</v>
      </c>
      <c r="G263" s="23">
        <f>SUM(H263:L263)</f>
        <v>0</v>
      </c>
      <c r="H263" s="23"/>
      <c r="I263" s="23"/>
      <c r="J263" s="92"/>
      <c r="K263" s="23"/>
      <c r="L263" s="92"/>
    </row>
    <row r="264" spans="1:12" x14ac:dyDescent="0.2">
      <c r="A264" s="52">
        <v>11</v>
      </c>
      <c r="B264" s="115" t="s">
        <v>67</v>
      </c>
      <c r="C264" s="116"/>
      <c r="D264" s="116"/>
      <c r="E264" s="117"/>
      <c r="F264" s="24">
        <v>483100</v>
      </c>
      <c r="G264" s="18">
        <f t="shared" si="10"/>
        <v>400000</v>
      </c>
      <c r="H264" s="18">
        <f>H265</f>
        <v>0</v>
      </c>
      <c r="I264" s="18">
        <f>I265</f>
        <v>0</v>
      </c>
      <c r="J264" s="95">
        <f>J265</f>
        <v>0</v>
      </c>
      <c r="K264" s="18">
        <f>K265</f>
        <v>0</v>
      </c>
      <c r="L264" s="95">
        <f>L265</f>
        <v>400000</v>
      </c>
    </row>
    <row r="265" spans="1:12" x14ac:dyDescent="0.2">
      <c r="A265" s="39"/>
      <c r="B265" s="27" t="s">
        <v>150</v>
      </c>
      <c r="C265" s="131" t="s">
        <v>223</v>
      </c>
      <c r="D265" s="131"/>
      <c r="E265" s="131"/>
      <c r="F265" s="24">
        <v>483111</v>
      </c>
      <c r="G265" s="23">
        <f t="shared" si="10"/>
        <v>400000</v>
      </c>
      <c r="H265" s="23"/>
      <c r="I265" s="23"/>
      <c r="J265" s="92"/>
      <c r="K265" s="23"/>
      <c r="L265" s="92">
        <v>400000</v>
      </c>
    </row>
    <row r="266" spans="1:12" x14ac:dyDescent="0.2">
      <c r="A266" s="39">
        <v>12</v>
      </c>
      <c r="B266" s="115" t="s">
        <v>430</v>
      </c>
      <c r="C266" s="116"/>
      <c r="D266" s="116"/>
      <c r="E266" s="117"/>
      <c r="F266" s="24">
        <v>485100</v>
      </c>
      <c r="G266" s="18">
        <f t="shared" si="10"/>
        <v>200000</v>
      </c>
      <c r="H266" s="18">
        <f>SUM(H267)</f>
        <v>0</v>
      </c>
      <c r="I266" s="18">
        <f>SUM(I267)</f>
        <v>0</v>
      </c>
      <c r="J266" s="95">
        <f>SUM(J267)</f>
        <v>0</v>
      </c>
      <c r="K266" s="18">
        <f>SUM(K267)</f>
        <v>0</v>
      </c>
      <c r="L266" s="95">
        <f>SUM(L267:L268)</f>
        <v>200000</v>
      </c>
    </row>
    <row r="267" spans="1:12" x14ac:dyDescent="0.2">
      <c r="A267" s="51"/>
      <c r="B267" s="26" t="s">
        <v>151</v>
      </c>
      <c r="C267" s="109" t="s">
        <v>431</v>
      </c>
      <c r="D267" s="110"/>
      <c r="E267" s="111"/>
      <c r="F267" s="24">
        <v>485110</v>
      </c>
      <c r="G267" s="23">
        <f t="shared" si="10"/>
        <v>0</v>
      </c>
      <c r="H267" s="23"/>
      <c r="I267" s="23"/>
      <c r="J267" s="92"/>
      <c r="K267" s="23"/>
      <c r="L267" s="92"/>
    </row>
    <row r="268" spans="1:12" x14ac:dyDescent="0.2">
      <c r="A268" s="51"/>
      <c r="B268" s="27" t="s">
        <v>464</v>
      </c>
      <c r="C268" s="109" t="s">
        <v>465</v>
      </c>
      <c r="D268" s="110"/>
      <c r="E268" s="111"/>
      <c r="F268" s="24">
        <v>485119</v>
      </c>
      <c r="G268" s="23">
        <f>SUM(H268:L268)</f>
        <v>200000</v>
      </c>
      <c r="H268" s="23"/>
      <c r="I268" s="23"/>
      <c r="J268" s="92"/>
      <c r="K268" s="23"/>
      <c r="L268" s="92">
        <v>200000</v>
      </c>
    </row>
    <row r="269" spans="1:12" x14ac:dyDescent="0.2">
      <c r="A269" s="115" t="s">
        <v>437</v>
      </c>
      <c r="B269" s="116"/>
      <c r="C269" s="116"/>
      <c r="D269" s="116"/>
      <c r="E269" s="117"/>
      <c r="F269" s="24">
        <v>400000</v>
      </c>
      <c r="G269" s="18">
        <f>SUM(H269:L269)</f>
        <v>4694747458</v>
      </c>
      <c r="H269" s="18">
        <f>SUM(H64+H70+H88+H93+H83+H85+H97+H101+H249+H254+H257+H259+H264+H266)</f>
        <v>1688420</v>
      </c>
      <c r="I269" s="18">
        <f>SUM(I64+I70+I88+I93+I83+I85+I97+I101+I249+I254+I257+I259+I264+I266)</f>
        <v>0</v>
      </c>
      <c r="J269" s="95">
        <f>SUM(J64+J70+J88+J93+J83+J85+J97+J101+J249+J254+J257+J259+J264+J266)</f>
        <v>4590819753</v>
      </c>
      <c r="K269" s="18">
        <f>SUM(K64+K70+K88+K93+K83+K85+K97+K101+K249+K254+K257+K259+K264+K266)</f>
        <v>0</v>
      </c>
      <c r="L269" s="95">
        <f>SUM(L64+L70+L88+L93+L83+L85+L97+L101+L249+L254+L257+L259+L264+L266)</f>
        <v>102239285</v>
      </c>
    </row>
    <row r="270" spans="1:12" x14ac:dyDescent="0.2">
      <c r="A270" s="50"/>
      <c r="B270" s="80"/>
      <c r="C270" s="80"/>
      <c r="D270" s="80"/>
      <c r="E270" s="69"/>
      <c r="F270" s="24"/>
      <c r="G270" s="18"/>
      <c r="H270" s="18"/>
      <c r="I270" s="18"/>
      <c r="J270" s="95"/>
      <c r="K270" s="18"/>
      <c r="L270" s="95"/>
    </row>
    <row r="271" spans="1:12" x14ac:dyDescent="0.2">
      <c r="A271" s="121" t="s">
        <v>173</v>
      </c>
      <c r="B271" s="122"/>
      <c r="C271" s="122"/>
      <c r="D271" s="122"/>
      <c r="E271" s="123"/>
      <c r="F271" s="24">
        <v>500000</v>
      </c>
      <c r="G271" s="18">
        <f>SUM(H271:L271)</f>
        <v>4400666</v>
      </c>
      <c r="H271" s="18">
        <f>SUM(H272)</f>
        <v>439000</v>
      </c>
      <c r="I271" s="18">
        <f>SUM(I272)</f>
        <v>0</v>
      </c>
      <c r="J271" s="95">
        <f>SUM(J272)</f>
        <v>0</v>
      </c>
      <c r="K271" s="18">
        <f>SUM(K272)</f>
        <v>625666</v>
      </c>
      <c r="L271" s="95">
        <f>SUM(L272)</f>
        <v>3336000</v>
      </c>
    </row>
    <row r="272" spans="1:12" x14ac:dyDescent="0.2">
      <c r="A272" s="81" t="s">
        <v>50</v>
      </c>
      <c r="B272" s="115" t="s">
        <v>51</v>
      </c>
      <c r="C272" s="116"/>
      <c r="D272" s="116"/>
      <c r="E272" s="117"/>
      <c r="F272" s="24">
        <v>510000</v>
      </c>
      <c r="G272" s="18">
        <f t="shared" ref="G272:G298" si="11">SUM(H272:L272)</f>
        <v>4400666</v>
      </c>
      <c r="H272" s="18">
        <f>H273+H278+H296</f>
        <v>439000</v>
      </c>
      <c r="I272" s="18">
        <f>I273+I278</f>
        <v>0</v>
      </c>
      <c r="J272" s="95">
        <f>J273+J278</f>
        <v>0</v>
      </c>
      <c r="K272" s="18">
        <f>K273+K278</f>
        <v>625666</v>
      </c>
      <c r="L272" s="95">
        <f>L273+L278</f>
        <v>3336000</v>
      </c>
    </row>
    <row r="273" spans="1:18" x14ac:dyDescent="0.2">
      <c r="A273" s="64"/>
      <c r="B273" s="81" t="s">
        <v>3</v>
      </c>
      <c r="C273" s="112" t="s">
        <v>172</v>
      </c>
      <c r="D273" s="113"/>
      <c r="E273" s="114"/>
      <c r="F273" s="24">
        <v>511000</v>
      </c>
      <c r="G273" s="18">
        <f t="shared" si="11"/>
        <v>2500000</v>
      </c>
      <c r="H273" s="18">
        <f>SUM(H274:H277)</f>
        <v>0</v>
      </c>
      <c r="I273" s="18">
        <f>SUM(I276:I277)</f>
        <v>0</v>
      </c>
      <c r="J273" s="95">
        <f>SUM(J276:J277)</f>
        <v>0</v>
      </c>
      <c r="K273" s="18">
        <f>SUM(K276:K277)</f>
        <v>0</v>
      </c>
      <c r="L273" s="95">
        <f>SUM(L275:L277)</f>
        <v>2500000</v>
      </c>
      <c r="M273" s="82"/>
    </row>
    <row r="274" spans="1:18" x14ac:dyDescent="0.2">
      <c r="A274" s="64"/>
      <c r="B274" s="81"/>
      <c r="C274" s="67" t="s">
        <v>323</v>
      </c>
      <c r="D274" s="124" t="s">
        <v>455</v>
      </c>
      <c r="E274" s="125"/>
      <c r="F274" s="24">
        <v>511222</v>
      </c>
      <c r="G274" s="32">
        <f t="shared" si="11"/>
        <v>0</v>
      </c>
      <c r="H274" s="32"/>
      <c r="I274" s="18"/>
      <c r="J274" s="95"/>
      <c r="K274" s="18"/>
      <c r="L274" s="95"/>
      <c r="M274" s="82"/>
    </row>
    <row r="275" spans="1:18" x14ac:dyDescent="0.2">
      <c r="A275" s="64"/>
      <c r="B275" s="83"/>
      <c r="C275" s="67" t="s">
        <v>324</v>
      </c>
      <c r="D275" s="118" t="s">
        <v>432</v>
      </c>
      <c r="E275" s="119"/>
      <c r="F275" s="24">
        <v>511226</v>
      </c>
      <c r="G275" s="23">
        <f t="shared" si="11"/>
        <v>0</v>
      </c>
      <c r="H275" s="18"/>
      <c r="I275" s="18"/>
      <c r="J275" s="95"/>
      <c r="K275" s="18"/>
      <c r="L275" s="92">
        <v>0</v>
      </c>
      <c r="M275" s="82"/>
    </row>
    <row r="276" spans="1:18" x14ac:dyDescent="0.2">
      <c r="A276" s="64"/>
      <c r="B276" s="83"/>
      <c r="C276" s="67" t="s">
        <v>334</v>
      </c>
      <c r="D276" s="118" t="s">
        <v>321</v>
      </c>
      <c r="E276" s="119"/>
      <c r="F276" s="24">
        <v>511322</v>
      </c>
      <c r="G276" s="23">
        <f t="shared" si="11"/>
        <v>0</v>
      </c>
      <c r="H276" s="23"/>
      <c r="I276" s="21"/>
      <c r="J276" s="101"/>
      <c r="K276" s="23"/>
      <c r="L276" s="92"/>
    </row>
    <row r="277" spans="1:18" x14ac:dyDescent="0.2">
      <c r="A277" s="64"/>
      <c r="B277" s="83"/>
      <c r="C277" s="67" t="s">
        <v>454</v>
      </c>
      <c r="D277" s="118" t="s">
        <v>87</v>
      </c>
      <c r="E277" s="119"/>
      <c r="F277" s="24">
        <v>511451</v>
      </c>
      <c r="G277" s="23">
        <f t="shared" si="11"/>
        <v>2500000</v>
      </c>
      <c r="H277" s="23"/>
      <c r="I277" s="21"/>
      <c r="J277" s="101"/>
      <c r="K277" s="23"/>
      <c r="L277" s="92">
        <v>2500000</v>
      </c>
      <c r="R277" s="4"/>
    </row>
    <row r="278" spans="1:18" x14ac:dyDescent="0.2">
      <c r="A278" s="64"/>
      <c r="B278" s="81" t="s">
        <v>5</v>
      </c>
      <c r="C278" s="112" t="s">
        <v>433</v>
      </c>
      <c r="D278" s="113"/>
      <c r="E278" s="114"/>
      <c r="F278" s="24">
        <v>512000</v>
      </c>
      <c r="G278" s="18">
        <f t="shared" ref="G278:L278" si="12">G279+G281+G287+G290+G292+G294</f>
        <v>1900666</v>
      </c>
      <c r="H278" s="18">
        <f t="shared" si="12"/>
        <v>439000</v>
      </c>
      <c r="I278" s="18">
        <f t="shared" si="12"/>
        <v>0</v>
      </c>
      <c r="J278" s="95">
        <f t="shared" si="12"/>
        <v>0</v>
      </c>
      <c r="K278" s="18">
        <f t="shared" si="12"/>
        <v>625666</v>
      </c>
      <c r="L278" s="95">
        <f t="shared" si="12"/>
        <v>836000</v>
      </c>
    </row>
    <row r="279" spans="1:18" x14ac:dyDescent="0.2">
      <c r="A279" s="64"/>
      <c r="B279" s="81"/>
      <c r="C279" s="73" t="s">
        <v>6</v>
      </c>
      <c r="D279" s="112" t="s">
        <v>316</v>
      </c>
      <c r="E279" s="114"/>
      <c r="F279" s="24">
        <v>512100</v>
      </c>
      <c r="G279" s="18">
        <f t="shared" si="11"/>
        <v>0</v>
      </c>
      <c r="H279" s="18">
        <f>SUM(H280)</f>
        <v>0</v>
      </c>
      <c r="I279" s="18">
        <f>SUM(I280)</f>
        <v>0</v>
      </c>
      <c r="J279" s="95">
        <f>SUM(J280)</f>
        <v>0</v>
      </c>
      <c r="K279" s="18">
        <f>SUM(K280)</f>
        <v>0</v>
      </c>
      <c r="L279" s="95">
        <f>SUM(L280)</f>
        <v>0</v>
      </c>
    </row>
    <row r="280" spans="1:18" x14ac:dyDescent="0.2">
      <c r="A280" s="64"/>
      <c r="B280" s="81"/>
      <c r="C280" s="81"/>
      <c r="D280" s="67" t="s">
        <v>315</v>
      </c>
      <c r="E280" s="84" t="s">
        <v>104</v>
      </c>
      <c r="F280" s="24">
        <v>512111</v>
      </c>
      <c r="G280" s="23">
        <f t="shared" si="11"/>
        <v>0</v>
      </c>
      <c r="H280" s="18"/>
      <c r="I280" s="18"/>
      <c r="J280" s="95"/>
      <c r="K280" s="23"/>
      <c r="L280" s="92"/>
    </row>
    <row r="281" spans="1:18" x14ac:dyDescent="0.2">
      <c r="A281" s="64"/>
      <c r="B281" s="81"/>
      <c r="C281" s="73" t="s">
        <v>7</v>
      </c>
      <c r="D281" s="112" t="s">
        <v>88</v>
      </c>
      <c r="E281" s="114"/>
      <c r="F281" s="24">
        <v>512200</v>
      </c>
      <c r="G281" s="18">
        <f t="shared" si="11"/>
        <v>836000</v>
      </c>
      <c r="H281" s="18">
        <f>SUM(H282:H286)</f>
        <v>0</v>
      </c>
      <c r="I281" s="18">
        <f>SUM(I282:I286)</f>
        <v>0</v>
      </c>
      <c r="J281" s="95">
        <f>SUM(J282:J286)</f>
        <v>0</v>
      </c>
      <c r="K281" s="18">
        <f>SUM(K282:K286)</f>
        <v>0</v>
      </c>
      <c r="L281" s="95">
        <f>SUM(L282:L286)</f>
        <v>836000</v>
      </c>
    </row>
    <row r="282" spans="1:18" x14ac:dyDescent="0.2">
      <c r="A282" s="64"/>
      <c r="B282" s="81"/>
      <c r="C282" s="81"/>
      <c r="D282" s="67" t="s">
        <v>332</v>
      </c>
      <c r="E282" s="84" t="s">
        <v>108</v>
      </c>
      <c r="F282" s="24">
        <v>512211</v>
      </c>
      <c r="G282" s="23">
        <f t="shared" si="11"/>
        <v>0</v>
      </c>
      <c r="H282" s="18"/>
      <c r="I282" s="18"/>
      <c r="J282" s="95"/>
      <c r="K282" s="18"/>
      <c r="L282" s="92"/>
    </row>
    <row r="283" spans="1:18" x14ac:dyDescent="0.2">
      <c r="A283" s="64"/>
      <c r="B283" s="83"/>
      <c r="C283" s="83"/>
      <c r="D283" s="67" t="s">
        <v>284</v>
      </c>
      <c r="E283" s="84" t="s">
        <v>118</v>
      </c>
      <c r="F283" s="24">
        <v>512220</v>
      </c>
      <c r="G283" s="23">
        <f t="shared" si="11"/>
        <v>500000</v>
      </c>
      <c r="H283" s="23"/>
      <c r="I283" s="21"/>
      <c r="J283" s="101"/>
      <c r="K283" s="23"/>
      <c r="L283" s="92">
        <v>500000</v>
      </c>
    </row>
    <row r="284" spans="1:18" x14ac:dyDescent="0.2">
      <c r="A284" s="64"/>
      <c r="B284" s="83"/>
      <c r="C284" s="83"/>
      <c r="D284" s="67" t="s">
        <v>333</v>
      </c>
      <c r="E284" s="84" t="s">
        <v>391</v>
      </c>
      <c r="F284" s="24">
        <v>512222</v>
      </c>
      <c r="G284" s="23">
        <f t="shared" si="11"/>
        <v>300000</v>
      </c>
      <c r="H284" s="23"/>
      <c r="I284" s="21"/>
      <c r="J284" s="101"/>
      <c r="K284" s="23"/>
      <c r="L284" s="92">
        <v>300000</v>
      </c>
    </row>
    <row r="285" spans="1:18" x14ac:dyDescent="0.2">
      <c r="A285" s="64"/>
      <c r="B285" s="83"/>
      <c r="C285" s="83"/>
      <c r="D285" s="67" t="s">
        <v>358</v>
      </c>
      <c r="E285" s="84" t="s">
        <v>497</v>
      </c>
      <c r="F285" s="24">
        <v>512231</v>
      </c>
      <c r="G285" s="23">
        <f t="shared" si="11"/>
        <v>36000</v>
      </c>
      <c r="H285" s="23"/>
      <c r="I285" s="21"/>
      <c r="J285" s="101"/>
      <c r="K285" s="23"/>
      <c r="L285" s="92">
        <v>36000</v>
      </c>
    </row>
    <row r="286" spans="1:18" x14ac:dyDescent="0.2">
      <c r="A286" s="64"/>
      <c r="B286" s="83"/>
      <c r="C286" s="83"/>
      <c r="D286" s="67" t="s">
        <v>390</v>
      </c>
      <c r="E286" s="84" t="s">
        <v>322</v>
      </c>
      <c r="F286" s="24">
        <v>512251</v>
      </c>
      <c r="G286" s="23">
        <f t="shared" si="11"/>
        <v>0</v>
      </c>
      <c r="H286" s="23"/>
      <c r="I286" s="21"/>
      <c r="J286" s="101"/>
      <c r="K286" s="23"/>
      <c r="L286" s="92"/>
    </row>
    <row r="287" spans="1:18" x14ac:dyDescent="0.2">
      <c r="A287" s="74"/>
      <c r="B287" s="81"/>
      <c r="C287" s="73" t="s">
        <v>8</v>
      </c>
      <c r="D287" s="112" t="s">
        <v>89</v>
      </c>
      <c r="E287" s="114"/>
      <c r="F287" s="24">
        <v>512500</v>
      </c>
      <c r="G287" s="18">
        <f>SUM(H287:L287)</f>
        <v>1064666</v>
      </c>
      <c r="H287" s="18">
        <f>SUM(H288+H289)</f>
        <v>439000</v>
      </c>
      <c r="I287" s="18">
        <f>SUM(I288+I289)</f>
        <v>0</v>
      </c>
      <c r="J287" s="95">
        <f>SUM(J288+J289)</f>
        <v>0</v>
      </c>
      <c r="K287" s="18">
        <f>SUM(K288+K289)</f>
        <v>625666</v>
      </c>
      <c r="L287" s="95">
        <f>SUM(L288+L289)</f>
        <v>0</v>
      </c>
    </row>
    <row r="288" spans="1:18" x14ac:dyDescent="0.2">
      <c r="A288" s="74"/>
      <c r="B288" s="81"/>
      <c r="C288" s="81"/>
      <c r="D288" s="67" t="s">
        <v>311</v>
      </c>
      <c r="E288" s="85" t="s">
        <v>89</v>
      </c>
      <c r="F288" s="24">
        <v>512511</v>
      </c>
      <c r="G288" s="23">
        <f t="shared" si="11"/>
        <v>1064666</v>
      </c>
      <c r="H288" s="23">
        <v>439000</v>
      </c>
      <c r="I288" s="21"/>
      <c r="J288" s="101"/>
      <c r="K288" s="23">
        <v>625666</v>
      </c>
      <c r="L288" s="92"/>
    </row>
    <row r="289" spans="1:12" x14ac:dyDescent="0.2">
      <c r="A289" s="74"/>
      <c r="B289" s="81"/>
      <c r="C289" s="81"/>
      <c r="D289" s="67" t="s">
        <v>338</v>
      </c>
      <c r="E289" s="85" t="s">
        <v>339</v>
      </c>
      <c r="F289" s="24">
        <v>512521</v>
      </c>
      <c r="G289" s="23">
        <f t="shared" si="11"/>
        <v>0</v>
      </c>
      <c r="H289" s="6"/>
      <c r="I289" s="21"/>
      <c r="J289" s="101"/>
      <c r="K289" s="23"/>
      <c r="L289" s="92"/>
    </row>
    <row r="290" spans="1:12" x14ac:dyDescent="0.2">
      <c r="A290" s="74"/>
      <c r="B290" s="81"/>
      <c r="C290" s="73" t="s">
        <v>9</v>
      </c>
      <c r="D290" s="112" t="s">
        <v>336</v>
      </c>
      <c r="E290" s="114"/>
      <c r="F290" s="24">
        <v>512800</v>
      </c>
      <c r="G290" s="18">
        <f t="shared" si="11"/>
        <v>0</v>
      </c>
      <c r="H290" s="23">
        <f>SUM(H291)</f>
        <v>0</v>
      </c>
      <c r="I290" s="23">
        <f>SUM(I291)</f>
        <v>0</v>
      </c>
      <c r="J290" s="92">
        <f>SUM(J291)</f>
        <v>0</v>
      </c>
      <c r="K290" s="23">
        <f>SUM(K291)</f>
        <v>0</v>
      </c>
      <c r="L290" s="95">
        <f>SUM(L291)</f>
        <v>0</v>
      </c>
    </row>
    <row r="291" spans="1:12" x14ac:dyDescent="0.2">
      <c r="A291" s="74"/>
      <c r="B291" s="81"/>
      <c r="C291" s="81"/>
      <c r="D291" s="67" t="s">
        <v>312</v>
      </c>
      <c r="E291" s="85" t="s">
        <v>336</v>
      </c>
      <c r="F291" s="24">
        <v>512811</v>
      </c>
      <c r="G291" s="23">
        <f t="shared" si="11"/>
        <v>0</v>
      </c>
      <c r="H291" s="23"/>
      <c r="I291" s="21"/>
      <c r="J291" s="101"/>
      <c r="K291" s="23"/>
      <c r="L291" s="92"/>
    </row>
    <row r="292" spans="1:12" x14ac:dyDescent="0.2">
      <c r="A292" s="74"/>
      <c r="B292" s="81"/>
      <c r="C292" s="73" t="s">
        <v>20</v>
      </c>
      <c r="D292" s="112" t="s">
        <v>313</v>
      </c>
      <c r="E292" s="114"/>
      <c r="F292" s="24">
        <v>512900</v>
      </c>
      <c r="G292" s="18">
        <f t="shared" si="11"/>
        <v>0</v>
      </c>
      <c r="H292" s="18">
        <f>SUM(H293)</f>
        <v>0</v>
      </c>
      <c r="I292" s="18">
        <f>SUM(I293)</f>
        <v>0</v>
      </c>
      <c r="J292" s="95">
        <f>SUM(J293)</f>
        <v>0</v>
      </c>
      <c r="K292" s="18">
        <f>SUM(K293)</f>
        <v>0</v>
      </c>
      <c r="L292" s="95">
        <f>SUM(L293)</f>
        <v>0</v>
      </c>
    </row>
    <row r="293" spans="1:12" x14ac:dyDescent="0.2">
      <c r="A293" s="74"/>
      <c r="B293" s="81"/>
      <c r="C293" s="81"/>
      <c r="D293" s="67" t="s">
        <v>314</v>
      </c>
      <c r="E293" s="85" t="s">
        <v>350</v>
      </c>
      <c r="F293" s="24">
        <v>512921</v>
      </c>
      <c r="G293" s="23">
        <f t="shared" si="11"/>
        <v>0</v>
      </c>
      <c r="H293" s="18"/>
      <c r="I293" s="17"/>
      <c r="J293" s="101"/>
      <c r="K293" s="18"/>
      <c r="L293" s="92"/>
    </row>
    <row r="294" spans="1:12" x14ac:dyDescent="0.2">
      <c r="A294" s="74"/>
      <c r="B294" s="86"/>
      <c r="C294" s="73" t="s">
        <v>21</v>
      </c>
      <c r="D294" s="112" t="s">
        <v>293</v>
      </c>
      <c r="E294" s="114"/>
      <c r="F294" s="24">
        <v>513100</v>
      </c>
      <c r="G294" s="18">
        <f t="shared" si="11"/>
        <v>0</v>
      </c>
      <c r="H294" s="18">
        <f>SUM(H295)</f>
        <v>0</v>
      </c>
      <c r="I294" s="18">
        <f>SUM(I295)</f>
        <v>0</v>
      </c>
      <c r="J294" s="95">
        <f>SUM(J295)</f>
        <v>0</v>
      </c>
      <c r="K294" s="18">
        <f>SUM(K295)</f>
        <v>0</v>
      </c>
      <c r="L294" s="95">
        <f>SUM(L295)</f>
        <v>0</v>
      </c>
    </row>
    <row r="295" spans="1:12" x14ac:dyDescent="0.2">
      <c r="A295" s="74"/>
      <c r="B295" s="81"/>
      <c r="C295" s="81"/>
      <c r="D295" s="67" t="s">
        <v>335</v>
      </c>
      <c r="E295" s="84" t="s">
        <v>293</v>
      </c>
      <c r="F295" s="24">
        <v>513111</v>
      </c>
      <c r="G295" s="23">
        <f t="shared" si="11"/>
        <v>0</v>
      </c>
      <c r="H295" s="18"/>
      <c r="I295" s="17"/>
      <c r="J295" s="97"/>
      <c r="K295" s="18"/>
      <c r="L295" s="92"/>
    </row>
    <row r="296" spans="1:12" x14ac:dyDescent="0.2">
      <c r="A296" s="74"/>
      <c r="B296" s="81" t="s">
        <v>16</v>
      </c>
      <c r="C296" s="112" t="s">
        <v>456</v>
      </c>
      <c r="D296" s="113"/>
      <c r="E296" s="114"/>
      <c r="F296" s="24">
        <v>515000</v>
      </c>
      <c r="G296" s="48">
        <f>SUM(H296:L296)</f>
        <v>0</v>
      </c>
      <c r="H296" s="18">
        <f>H297</f>
        <v>0</v>
      </c>
      <c r="I296" s="17"/>
      <c r="J296" s="97"/>
      <c r="K296" s="18"/>
      <c r="L296" s="92"/>
    </row>
    <row r="297" spans="1:12" x14ac:dyDescent="0.2">
      <c r="A297" s="74"/>
      <c r="B297" s="81"/>
      <c r="C297" s="87" t="s">
        <v>458</v>
      </c>
      <c r="D297" s="171" t="s">
        <v>457</v>
      </c>
      <c r="E297" s="125"/>
      <c r="F297" s="24">
        <v>515111</v>
      </c>
      <c r="G297" s="23"/>
      <c r="H297" s="32"/>
      <c r="I297" s="17"/>
      <c r="J297" s="97"/>
      <c r="K297" s="18"/>
      <c r="L297" s="92"/>
    </row>
    <row r="298" spans="1:12" x14ac:dyDescent="0.2">
      <c r="A298" s="120" t="s">
        <v>52</v>
      </c>
      <c r="B298" s="120"/>
      <c r="C298" s="120"/>
      <c r="D298" s="120"/>
      <c r="E298" s="120"/>
      <c r="F298" s="24"/>
      <c r="G298" s="18">
        <f t="shared" si="11"/>
        <v>4699148124</v>
      </c>
      <c r="H298" s="18">
        <f>H269+H271</f>
        <v>2127420</v>
      </c>
      <c r="I298" s="18">
        <f>I269+I271</f>
        <v>0</v>
      </c>
      <c r="J298" s="95">
        <f>J269+J271</f>
        <v>4590819753</v>
      </c>
      <c r="K298" s="18">
        <f>K269+K271</f>
        <v>625666</v>
      </c>
      <c r="L298" s="95">
        <f>L269+L271</f>
        <v>105575285</v>
      </c>
    </row>
    <row r="299" spans="1:12" x14ac:dyDescent="0.2">
      <c r="A299" s="88"/>
      <c r="B299" s="88"/>
      <c r="C299" s="88"/>
      <c r="D299" s="88"/>
      <c r="E299" s="88"/>
      <c r="F299" s="10"/>
      <c r="G299" s="82"/>
      <c r="H299" s="82"/>
      <c r="I299" s="82"/>
      <c r="J299" s="102"/>
      <c r="K299" s="82"/>
      <c r="L299" s="102"/>
    </row>
    <row r="300" spans="1:12" x14ac:dyDescent="0.2">
      <c r="H300" s="4"/>
      <c r="J300" s="167" t="s">
        <v>56</v>
      </c>
      <c r="K300" s="167"/>
      <c r="L300" s="167"/>
    </row>
    <row r="301" spans="1:12" x14ac:dyDescent="0.2">
      <c r="A301" s="127" t="s">
        <v>500</v>
      </c>
      <c r="B301" s="127"/>
    </row>
    <row r="302" spans="1:12" x14ac:dyDescent="0.2">
      <c r="J302" s="103"/>
      <c r="K302" s="89"/>
      <c r="L302" s="108"/>
    </row>
  </sheetData>
  <mergeCells count="266">
    <mergeCell ref="D151:E151"/>
    <mergeCell ref="C153:E153"/>
    <mergeCell ref="D125:E125"/>
    <mergeCell ref="D133:E133"/>
    <mergeCell ref="D131:E131"/>
    <mergeCell ref="D144:E144"/>
    <mergeCell ref="D129:E129"/>
    <mergeCell ref="D126:E126"/>
    <mergeCell ref="D143:E143"/>
    <mergeCell ref="D134:E134"/>
    <mergeCell ref="D138:E138"/>
    <mergeCell ref="D139:E139"/>
    <mergeCell ref="B140:E140"/>
    <mergeCell ref="C141:E141"/>
    <mergeCell ref="D142:E142"/>
    <mergeCell ref="C135:E135"/>
    <mergeCell ref="C137:E137"/>
    <mergeCell ref="C150:E150"/>
    <mergeCell ref="C148:E148"/>
    <mergeCell ref="D136:E136"/>
    <mergeCell ref="A1:L1"/>
    <mergeCell ref="D120:E120"/>
    <mergeCell ref="D108:E108"/>
    <mergeCell ref="D111:E111"/>
    <mergeCell ref="C103:E103"/>
    <mergeCell ref="C82:E82"/>
    <mergeCell ref="D38:E38"/>
    <mergeCell ref="C27:E27"/>
    <mergeCell ref="D28:E28"/>
    <mergeCell ref="C23:E23"/>
    <mergeCell ref="C25:E25"/>
    <mergeCell ref="B26:E26"/>
    <mergeCell ref="D35:E35"/>
    <mergeCell ref="D36:E36"/>
    <mergeCell ref="B97:E97"/>
    <mergeCell ref="D119:E119"/>
    <mergeCell ref="D39:E39"/>
    <mergeCell ref="D47:E47"/>
    <mergeCell ref="D49:E49"/>
    <mergeCell ref="C87:E87"/>
    <mergeCell ref="C76:E76"/>
    <mergeCell ref="D112:E112"/>
    <mergeCell ref="C98:E98"/>
    <mergeCell ref="A101:E101"/>
    <mergeCell ref="J300:L300"/>
    <mergeCell ref="D191:E191"/>
    <mergeCell ref="C181:E181"/>
    <mergeCell ref="D182:E182"/>
    <mergeCell ref="C172:E172"/>
    <mergeCell ref="D171:E171"/>
    <mergeCell ref="C258:E258"/>
    <mergeCell ref="C262:E262"/>
    <mergeCell ref="C146:E146"/>
    <mergeCell ref="D147:E147"/>
    <mergeCell ref="D214:E214"/>
    <mergeCell ref="C219:E219"/>
    <mergeCell ref="C221:E221"/>
    <mergeCell ref="C165:E165"/>
    <mergeCell ref="D154:E154"/>
    <mergeCell ref="D177:E177"/>
    <mergeCell ref="C161:E161"/>
    <mergeCell ref="B174:E174"/>
    <mergeCell ref="D199:E199"/>
    <mergeCell ref="D204:E204"/>
    <mergeCell ref="C155:E155"/>
    <mergeCell ref="D297:E297"/>
    <mergeCell ref="D276:E276"/>
    <mergeCell ref="D277:E277"/>
    <mergeCell ref="D42:E42"/>
    <mergeCell ref="D44:E44"/>
    <mergeCell ref="D37:E37"/>
    <mergeCell ref="C20:E20"/>
    <mergeCell ref="D41:E41"/>
    <mergeCell ref="D127:E127"/>
    <mergeCell ref="C81:E81"/>
    <mergeCell ref="C80:E80"/>
    <mergeCell ref="D196:E196"/>
    <mergeCell ref="D192:E192"/>
    <mergeCell ref="D193:E193"/>
    <mergeCell ref="C194:E194"/>
    <mergeCell ref="D185:E185"/>
    <mergeCell ref="D145:E145"/>
    <mergeCell ref="C77:E77"/>
    <mergeCell ref="D115:E115"/>
    <mergeCell ref="C104:E104"/>
    <mergeCell ref="C99:E99"/>
    <mergeCell ref="D114:E114"/>
    <mergeCell ref="D122:E122"/>
    <mergeCell ref="A61:E61"/>
    <mergeCell ref="D48:E48"/>
    <mergeCell ref="B53:E53"/>
    <mergeCell ref="A56:E56"/>
    <mergeCell ref="B70:E70"/>
    <mergeCell ref="C65:E65"/>
    <mergeCell ref="D50:E50"/>
    <mergeCell ref="A62:L62"/>
    <mergeCell ref="C54:E54"/>
    <mergeCell ref="C55:E55"/>
    <mergeCell ref="B64:E64"/>
    <mergeCell ref="C66:E66"/>
    <mergeCell ref="D52:E52"/>
    <mergeCell ref="A63:E63"/>
    <mergeCell ref="D51:E51"/>
    <mergeCell ref="D163:E163"/>
    <mergeCell ref="D164:E164"/>
    <mergeCell ref="D188:E188"/>
    <mergeCell ref="D197:E197"/>
    <mergeCell ref="C168:E168"/>
    <mergeCell ref="C75:E75"/>
    <mergeCell ref="D106:E106"/>
    <mergeCell ref="D105:E105"/>
    <mergeCell ref="C94:E94"/>
    <mergeCell ref="C95:E95"/>
    <mergeCell ref="C96:E96"/>
    <mergeCell ref="C78:E78"/>
    <mergeCell ref="C121:E121"/>
    <mergeCell ref="C113:E113"/>
    <mergeCell ref="C89:E89"/>
    <mergeCell ref="C91:E91"/>
    <mergeCell ref="C90:E90"/>
    <mergeCell ref="C79:E79"/>
    <mergeCell ref="C100:E100"/>
    <mergeCell ref="D156:E156"/>
    <mergeCell ref="D157:E157"/>
    <mergeCell ref="B152:E152"/>
    <mergeCell ref="D123:E123"/>
    <mergeCell ref="D130:E130"/>
    <mergeCell ref="D169:E169"/>
    <mergeCell ref="D166:E166"/>
    <mergeCell ref="D187:E187"/>
    <mergeCell ref="D190:E190"/>
    <mergeCell ref="C170:E170"/>
    <mergeCell ref="D200:E200"/>
    <mergeCell ref="D201:E201"/>
    <mergeCell ref="D203:E203"/>
    <mergeCell ref="D198:E198"/>
    <mergeCell ref="D195:E195"/>
    <mergeCell ref="D178:E178"/>
    <mergeCell ref="C179:E179"/>
    <mergeCell ref="B183:E183"/>
    <mergeCell ref="C184:E184"/>
    <mergeCell ref="D180:E180"/>
    <mergeCell ref="D189:E189"/>
    <mergeCell ref="C175:E175"/>
    <mergeCell ref="D173:E173"/>
    <mergeCell ref="D186:E186"/>
    <mergeCell ref="D202:E202"/>
    <mergeCell ref="C24:E24"/>
    <mergeCell ref="D109:E109"/>
    <mergeCell ref="D132:E132"/>
    <mergeCell ref="C84:E84"/>
    <mergeCell ref="C68:E68"/>
    <mergeCell ref="C128:E128"/>
    <mergeCell ref="C67:E67"/>
    <mergeCell ref="D124:E124"/>
    <mergeCell ref="D110:E110"/>
    <mergeCell ref="B93:E93"/>
    <mergeCell ref="B85:E85"/>
    <mergeCell ref="B83:E83"/>
    <mergeCell ref="C74:E74"/>
    <mergeCell ref="B88:E88"/>
    <mergeCell ref="C86:E86"/>
    <mergeCell ref="C71:E71"/>
    <mergeCell ref="B102:E102"/>
    <mergeCell ref="D107:E107"/>
    <mergeCell ref="C69:E69"/>
    <mergeCell ref="C72:E72"/>
    <mergeCell ref="C73:E73"/>
    <mergeCell ref="B57:E57"/>
    <mergeCell ref="C58:E58"/>
    <mergeCell ref="A59:E59"/>
    <mergeCell ref="A3:E3"/>
    <mergeCell ref="C14:E14"/>
    <mergeCell ref="B7:E7"/>
    <mergeCell ref="D45:E45"/>
    <mergeCell ref="D46:E46"/>
    <mergeCell ref="C11:E11"/>
    <mergeCell ref="B9:E9"/>
    <mergeCell ref="C12:E12"/>
    <mergeCell ref="C10:E10"/>
    <mergeCell ref="C19:E19"/>
    <mergeCell ref="C13:E13"/>
    <mergeCell ref="B15:E15"/>
    <mergeCell ref="C22:E22"/>
    <mergeCell ref="B18:E18"/>
    <mergeCell ref="C16:E16"/>
    <mergeCell ref="C17:E17"/>
    <mergeCell ref="A4:L4"/>
    <mergeCell ref="B5:E5"/>
    <mergeCell ref="C6:E6"/>
    <mergeCell ref="C8:E8"/>
    <mergeCell ref="D43:E43"/>
    <mergeCell ref="B21:E21"/>
    <mergeCell ref="D29:E29"/>
    <mergeCell ref="D40:E40"/>
    <mergeCell ref="D205:E205"/>
    <mergeCell ref="D206:E206"/>
    <mergeCell ref="D209:E209"/>
    <mergeCell ref="D210:E210"/>
    <mergeCell ref="C212:E212"/>
    <mergeCell ref="D213:E213"/>
    <mergeCell ref="D211:E211"/>
    <mergeCell ref="D216:E216"/>
    <mergeCell ref="C215:E215"/>
    <mergeCell ref="C208:E208"/>
    <mergeCell ref="B207:E207"/>
    <mergeCell ref="D160:E160"/>
    <mergeCell ref="D149:E149"/>
    <mergeCell ref="D159:E159"/>
    <mergeCell ref="C158:E158"/>
    <mergeCell ref="D167:E167"/>
    <mergeCell ref="D162:E162"/>
    <mergeCell ref="A301:B301"/>
    <mergeCell ref="D225:E225"/>
    <mergeCell ref="D233:E233"/>
    <mergeCell ref="D247:E247"/>
    <mergeCell ref="B249:E249"/>
    <mergeCell ref="B254:E254"/>
    <mergeCell ref="C261:E261"/>
    <mergeCell ref="C265:E265"/>
    <mergeCell ref="C250:E250"/>
    <mergeCell ref="D292:E292"/>
    <mergeCell ref="B259:E259"/>
    <mergeCell ref="C260:E260"/>
    <mergeCell ref="B257:E257"/>
    <mergeCell ref="C256:E256"/>
    <mergeCell ref="C240:E240"/>
    <mergeCell ref="C241:E241"/>
    <mergeCell ref="C252:E252"/>
    <mergeCell ref="C255:E255"/>
    <mergeCell ref="A298:E298"/>
    <mergeCell ref="A269:E269"/>
    <mergeCell ref="D294:E294"/>
    <mergeCell ref="B264:E264"/>
    <mergeCell ref="B266:E266"/>
    <mergeCell ref="C296:E296"/>
    <mergeCell ref="D279:E279"/>
    <mergeCell ref="D281:E281"/>
    <mergeCell ref="D287:E287"/>
    <mergeCell ref="D290:E290"/>
    <mergeCell ref="C278:E278"/>
    <mergeCell ref="A271:E271"/>
    <mergeCell ref="D274:E274"/>
    <mergeCell ref="C263:E263"/>
    <mergeCell ref="C268:E268"/>
    <mergeCell ref="C267:E267"/>
    <mergeCell ref="C273:E273"/>
    <mergeCell ref="B272:E272"/>
    <mergeCell ref="D275:E275"/>
    <mergeCell ref="D223:E223"/>
    <mergeCell ref="D217:E217"/>
    <mergeCell ref="D218:E218"/>
    <mergeCell ref="C253:E253"/>
    <mergeCell ref="D242:E242"/>
    <mergeCell ref="D220:E220"/>
    <mergeCell ref="D239:E239"/>
    <mergeCell ref="D222:E222"/>
    <mergeCell ref="C251:E251"/>
    <mergeCell ref="D224:E224"/>
    <mergeCell ref="D232:E232"/>
    <mergeCell ref="D248:E248"/>
    <mergeCell ref="D226:E226"/>
    <mergeCell ref="D246:E246"/>
    <mergeCell ref="D244:E244"/>
    <mergeCell ref="C245:E245"/>
    <mergeCell ref="D243:E243"/>
  </mergeCells>
  <phoneticPr fontId="0" type="noConversion"/>
  <dataValidations count="1">
    <dataValidation type="whole" operator="greaterThanOrEqual" allowBlank="1" showInputMessage="1" showErrorMessage="1" errorTitle="Greška" error="Morate uneti ceo broj bez decimala!!!!" sqref="I293:K293 I295:K297 I288:K289 I291:K291 I276:K277 H261 H269:L272 I283:K286 I221:L221 H207:H211 I215:L219 I207:L208 H236 I220:J220 I115:L115 H246:H248 H242:H244 I225:K225 H235:I235 H237:I240 H70:H76 I70:L71 H78:H83 I63:L64 G128:L128 G105:G119 H129:H136 H122:H127 I101:L102 G104:L104 H105:H111 G120:K120 H101:H103 I113:L113 I93:L93 H87 H89:H96 I83:L83 G63:H65 G121:G127 G139:H139 H113:H118 G129:G138 H26:H52 H15 H16:J17 K15:L17 J15 H8:H10 L9 K8:K9 H7:L7 I9:J9 G5:G10 G11:I11 I12:I15 I22:I25 I26:L27 K54:K55 G66:G103 I29:L29 G12:G55 H194:I206 J194:L194 I183:L184 I185:J193 I170:L170 I168:L168 H166:H171 H159:H160 H156:H157 H162:H164 H177:H178 H173:H174 I181:L181 I174:L174 H180:H193 I142:K145 I140:L141 H140:H145 H147 G56:L60 I226:L233 H213:H234 G140:G248">
      <formula1>0</formula1>
    </dataValidation>
  </dataValidations>
  <printOptions horizont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7"/>
  <sheetViews>
    <sheetView workbookViewId="0">
      <selection activeCell="B35" sqref="B35"/>
    </sheetView>
  </sheetViews>
  <sheetFormatPr defaultRowHeight="12.75" x14ac:dyDescent="0.2"/>
  <cols>
    <col min="2" max="2" width="15.5703125" style="2" bestFit="1" customWidth="1"/>
    <col min="3" max="3" width="12.7109375" style="2" bestFit="1" customWidth="1"/>
    <col min="4" max="4" width="11.7109375" style="2" bestFit="1" customWidth="1"/>
    <col min="5" max="5" width="15.42578125" style="2" bestFit="1" customWidth="1"/>
    <col min="6" max="6" width="11.7109375" style="1" bestFit="1" customWidth="1"/>
    <col min="7" max="7" width="12.7109375" style="1" bestFit="1" customWidth="1"/>
    <col min="8" max="8" width="9.28515625" style="1" bestFit="1" customWidth="1"/>
  </cols>
  <sheetData>
    <row r="6" spans="1:2" x14ac:dyDescent="0.2">
      <c r="A6" t="s">
        <v>448</v>
      </c>
      <c r="B6" s="2">
        <v>3292055000</v>
      </c>
    </row>
    <row r="7" spans="1:2" x14ac:dyDescent="0.2">
      <c r="B7" s="2">
        <f>B6/1.1515</f>
        <v>2858927485.8879724</v>
      </c>
    </row>
    <row r="8" spans="1:2" x14ac:dyDescent="0.2">
      <c r="A8" t="s">
        <v>449</v>
      </c>
      <c r="B8" s="2">
        <f>B7*10%</f>
        <v>285892748.58879727</v>
      </c>
    </row>
    <row r="9" spans="1:2" x14ac:dyDescent="0.2">
      <c r="A9" t="s">
        <v>450</v>
      </c>
      <c r="B9" s="2">
        <f>B7*5.15%</f>
        <v>147234765.52323058</v>
      </c>
    </row>
    <row r="12" spans="1:2" x14ac:dyDescent="0.2">
      <c r="A12" s="7" t="s">
        <v>451</v>
      </c>
    </row>
    <row r="14" spans="1:2" x14ac:dyDescent="0.2">
      <c r="A14" t="s">
        <v>448</v>
      </c>
      <c r="B14" s="2">
        <v>36633</v>
      </c>
    </row>
    <row r="15" spans="1:2" x14ac:dyDescent="0.2">
      <c r="B15" s="2">
        <f>B14/1.1515</f>
        <v>31813.287016934435</v>
      </c>
    </row>
    <row r="16" spans="1:2" x14ac:dyDescent="0.2">
      <c r="A16" t="s">
        <v>449</v>
      </c>
      <c r="B16" s="2">
        <f>B15*10%</f>
        <v>3181.3287016934437</v>
      </c>
    </row>
    <row r="17" spans="1:2" x14ac:dyDescent="0.2">
      <c r="A17" t="s">
        <v>450</v>
      </c>
      <c r="B17" s="2">
        <f>B15*5.15%</f>
        <v>1638.3842813721235</v>
      </c>
    </row>
    <row r="20" spans="1:2" x14ac:dyDescent="0.2">
      <c r="A20" t="s">
        <v>452</v>
      </c>
    </row>
    <row r="21" spans="1:2" x14ac:dyDescent="0.2">
      <c r="A21" t="s">
        <v>448</v>
      </c>
      <c r="B21" s="2">
        <v>1700000</v>
      </c>
    </row>
    <row r="22" spans="1:2" x14ac:dyDescent="0.2">
      <c r="B22" s="2">
        <f>B21/1.1515</f>
        <v>1476335.2149370387</v>
      </c>
    </row>
    <row r="23" spans="1:2" x14ac:dyDescent="0.2">
      <c r="A23" t="s">
        <v>449</v>
      </c>
      <c r="B23" s="2">
        <f>B22*10%</f>
        <v>147633.52149370388</v>
      </c>
    </row>
    <row r="24" spans="1:2" x14ac:dyDescent="0.2">
      <c r="A24" t="s">
        <v>450</v>
      </c>
      <c r="B24" s="2">
        <f>B22*5.15%</f>
        <v>76031.263569257499</v>
      </c>
    </row>
    <row r="27" spans="1:2" x14ac:dyDescent="0.2">
      <c r="A27" t="s">
        <v>491</v>
      </c>
    </row>
    <row r="28" spans="1:2" x14ac:dyDescent="0.2">
      <c r="A28" t="s">
        <v>448</v>
      </c>
      <c r="B28" s="2">
        <v>538420</v>
      </c>
    </row>
    <row r="29" spans="1:2" x14ac:dyDescent="0.2">
      <c r="B29" s="2">
        <f>B28/1.1515</f>
        <v>467581.41554494138</v>
      </c>
    </row>
    <row r="30" spans="1:2" x14ac:dyDescent="0.2">
      <c r="A30" t="s">
        <v>449</v>
      </c>
      <c r="B30" s="2">
        <f>B29*10%</f>
        <v>46758.141554494141</v>
      </c>
    </row>
    <row r="31" spans="1:2" x14ac:dyDescent="0.2">
      <c r="A31" t="s">
        <v>450</v>
      </c>
      <c r="B31" s="2">
        <f>B29*5.15%</f>
        <v>24080.442900564482</v>
      </c>
    </row>
    <row r="33" spans="1:2" x14ac:dyDescent="0.2">
      <c r="A33" t="s">
        <v>496</v>
      </c>
    </row>
    <row r="34" spans="1:2" x14ac:dyDescent="0.2">
      <c r="A34" t="s">
        <v>448</v>
      </c>
      <c r="B34" s="2">
        <v>144295080</v>
      </c>
    </row>
    <row r="35" spans="1:2" x14ac:dyDescent="0.2">
      <c r="B35" s="2">
        <f>B34/1.1515</f>
        <v>125310534.08597481</v>
      </c>
    </row>
    <row r="36" spans="1:2" x14ac:dyDescent="0.2">
      <c r="A36" t="s">
        <v>449</v>
      </c>
      <c r="B36" s="2">
        <f>B35*10%</f>
        <v>12531053.408597482</v>
      </c>
    </row>
    <row r="37" spans="1:2" x14ac:dyDescent="0.2">
      <c r="A37" t="s">
        <v>450</v>
      </c>
      <c r="B37" s="2">
        <f>B35*5.15%</f>
        <v>6453492.5054277033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ZC Leskovac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Dule</dc:creator>
  <cp:lastModifiedBy>Jelena</cp:lastModifiedBy>
  <cp:lastPrinted>2026-03-19T09:43:10Z</cp:lastPrinted>
  <dcterms:created xsi:type="dcterms:W3CDTF">2005-07-14T07:24:54Z</dcterms:created>
  <dcterms:modified xsi:type="dcterms:W3CDTF">2026-03-19T09:43:20Z</dcterms:modified>
</cp:coreProperties>
</file>